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  <Override PartName="/xl/embeddings/oleObject_7_2.bin" ContentType="application/vnd.openxmlformats-officedocument.oleObject"/>
  <Override PartName="/xl/embeddings/oleObject_7_3.bin" ContentType="application/vnd.openxmlformats-officedocument.oleObject"/>
  <Override PartName="/xl/embeddings/oleObject_8_0.bin" ContentType="application/vnd.openxmlformats-officedocument.oleObject"/>
  <Override PartName="/xl/embeddings/oleObject_8_1.bin" ContentType="application/vnd.openxmlformats-officedocument.oleObject"/>
  <Override PartName="/xl/embeddings/oleObject_8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175" activeTab="5"/>
  </bookViews>
  <sheets>
    <sheet name="группа 1" sheetId="1" r:id="rId1"/>
    <sheet name="группа 2" sheetId="2" r:id="rId2"/>
    <sheet name="группа 3" sheetId="3" r:id="rId3"/>
    <sheet name="группа 4" sheetId="4" r:id="rId4"/>
    <sheet name="Группа 5" sheetId="5" r:id="rId5"/>
    <sheet name="Группа 6" sheetId="6" r:id="rId6"/>
    <sheet name="Группа 7" sheetId="7" r:id="rId7"/>
    <sheet name="Группа 8" sheetId="8" r:id="rId8"/>
    <sheet name="Группа 9" sheetId="9" r:id="rId9"/>
    <sheet name="СВОД" sheetId="10" r:id="rId10"/>
  </sheets>
  <definedNames>
    <definedName name="_xlnm.Print_Area" localSheetId="1">'группа 2'!$A$1:$AQ$13</definedName>
  </definedNames>
  <calcPr fullCalcOnLoad="1"/>
</workbook>
</file>

<file path=xl/sharedStrings.xml><?xml version="1.0" encoding="utf-8"?>
<sst xmlns="http://schemas.openxmlformats.org/spreadsheetml/2006/main" count="378" uniqueCount="180">
  <si>
    <r>
      <t xml:space="preserve">E(P)= 1, если Р </t>
    </r>
    <r>
      <rPr>
        <u val="single"/>
        <sz val="8"/>
        <rFont val="Times New Roman"/>
        <family val="1"/>
      </rPr>
      <t>&lt;</t>
    </r>
    <r>
      <rPr>
        <sz val="8"/>
        <rFont val="Times New Roman"/>
        <family val="1"/>
      </rPr>
      <t xml:space="preserve"> 5%,
E(P)= 0, если Р &gt;5%
</t>
    </r>
  </si>
  <si>
    <r>
      <t xml:space="preserve">В случае проведения годового мониторинга качества финансового менеджмента:
E(P)=1, если Р ≤ 50%;  E(P)= 1- (Р-50)/50, если 50% &lt; Р </t>
    </r>
    <r>
      <rPr>
        <u val="single"/>
        <sz val="8"/>
        <rFont val="Times New Roman"/>
        <family val="1"/>
      </rPr>
      <t>&lt;</t>
    </r>
    <r>
      <rPr>
        <sz val="8"/>
        <rFont val="Times New Roman"/>
        <family val="1"/>
      </rPr>
      <t xml:space="preserve"> 100%;       E(P)= 0, если Р &gt; 100%</t>
    </r>
  </si>
  <si>
    <t>Nв - количество учреждений, выполнивших муниципальное задание на 100%,</t>
  </si>
  <si>
    <t>Nо - общее количество учреждений, которым установлены муниципальные задания</t>
  </si>
  <si>
    <t>Oкр - объем просроченной кредиторской задолженности на отчетную дату</t>
  </si>
  <si>
    <t>P=Oкр</t>
  </si>
  <si>
    <t xml:space="preserve">Е(Р) =1, при отсутствии просроченной кредиторской задолженности.
При наличии просроченной кредиторской задолженности оценка показателя Е(Р) = 0.
</t>
  </si>
  <si>
    <t>2.5. Эффективность управления кредиторской задолженностью по расчетам с поставщиками и подрядчиками</t>
  </si>
  <si>
    <t>2.6. Качество Порядка составления, утверждения и ведения бюджетных смет участников бюджетного процесса</t>
  </si>
  <si>
    <t xml:space="preserve">P=Qз.контр./Qдов.лим. *100
</t>
  </si>
  <si>
    <r>
      <t xml:space="preserve">E(P)=1, если Р </t>
    </r>
    <r>
      <rPr>
        <u val="single"/>
        <sz val="8"/>
        <rFont val="Times New Roman"/>
        <family val="1"/>
      </rPr>
      <t>&gt;</t>
    </r>
    <r>
      <rPr>
        <sz val="8"/>
        <rFont val="Times New Roman"/>
        <family val="1"/>
      </rPr>
      <t xml:space="preserve"> 50%;  E(P)= 1- (50-Р)/50, если 0% ≤ Р ≤ 50%;       E(P)= 0, если Р &lt; 0% либо No=0 и N1</t>
    </r>
    <r>
      <rPr>
        <sz val="8"/>
        <rFont val="Arial Cyr"/>
        <family val="0"/>
      </rPr>
      <t>≠</t>
    </r>
    <r>
      <rPr>
        <sz val="8"/>
        <rFont val="Times New Roman"/>
        <family val="1"/>
      </rPr>
      <t>0</t>
    </r>
  </si>
  <si>
    <t>Nh -  фактическое количество сотрудников финансового (финансово-экономического) подразделения аппарата ГРБС, обладающих дипломами о высшем профессиональном образовании или о профессиональной переподготовке по экономическим направлениям подготовки (специальностям), не имеющих дипломов кандидата или доктора экономических наук, по состоянию на 1 января текущего финансового года</t>
  </si>
  <si>
    <t>Ns -  фактическое количество сотрудников финансового (финансово-экономического) подразделения аппарата ГРБС, обладающих дипломами о среднем профессиональном образовании по экономическим направлениям подготовки (специальностям), не имеющих дипломов о высшем профессиональном образовании или о профессиональной переподготовке по экономическим направлениям подготовки (специальностям), по состоянию на 1 января текущего финансового года</t>
  </si>
  <si>
    <r>
      <t>E(P)=1, если Р</t>
    </r>
    <r>
      <rPr>
        <u val="single"/>
        <sz val="8"/>
        <rFont val="Times New Roman"/>
        <family val="1"/>
      </rPr>
      <t>&gt;</t>
    </r>
    <r>
      <rPr>
        <sz val="8"/>
        <rFont val="Times New Roman"/>
        <family val="1"/>
      </rPr>
      <t xml:space="preserve">100%;                             E(P)=0, если Ns&gt;0%               </t>
    </r>
  </si>
  <si>
    <t>Р=100*Nkv/N</t>
  </si>
  <si>
    <t>E(P)=Р/100</t>
  </si>
  <si>
    <t xml:space="preserve"> Nkv  - количество сотрудников финансового (финансово-экономического) подразделения аппарата ГРБС, обладающих свидетельствами (сертификатами, удостоверениями) о прохождении повышения квалификации в области экономики и финансов в течение последних трех лет</t>
  </si>
  <si>
    <t>Р=100*n/N</t>
  </si>
  <si>
    <t>n -  фактическое количество сотрудников в финансовом (финансово-экономическом) подразделении аппарата ГРБС по состоянию на 1 января текущего финансового года</t>
  </si>
  <si>
    <t xml:space="preserve">N - общее количество сотрудников в финансовом (финансово-экономическом) подразделении аппарата ГРБС по штатному расписанию по состоянию на 1 января текущего финансового года
</t>
  </si>
  <si>
    <t>Р=100*(J1-Jo)/Jo</t>
  </si>
  <si>
    <t xml:space="preserve">Итоговый вес групп в оценке (%)
</t>
  </si>
  <si>
    <t xml:space="preserve">Вес группы в оценке (%)
</t>
  </si>
  <si>
    <t>Отчетность представлена в сроки,  установленные Финансовым отделом Администрации Константиновского района</t>
  </si>
  <si>
    <t xml:space="preserve">E(P) = 1, сроки соблюдены,                                     E(P) = 0, сроки не соблюдены </t>
  </si>
  <si>
    <t>Е  - кассовое исполнение расходов в отчетном финансовом году</t>
  </si>
  <si>
    <t>Вес показателей 
в группе (в %)</t>
  </si>
  <si>
    <t>В баллах для 1</t>
  </si>
  <si>
    <t>В баллах для 2</t>
  </si>
  <si>
    <t xml:space="preserve">Rf  кассовое исполнение по доходам в отчетном финансовом году 
</t>
  </si>
  <si>
    <t xml:space="preserve">Вес показателей
в группе (в %)
</t>
  </si>
  <si>
    <t xml:space="preserve"> Su – общая сумма исковых требований в денежном выражении, определенная судом к взысканию по судебным актам, вступившим в законную силу в отчетном периоде, по исковым требованиям о возмещении ущерба от незаконных действий или бездействия ГРБС или его должностных лиц </t>
  </si>
  <si>
    <t xml:space="preserve">Sp – общая сумма заявленных исковых требований в денежном выражении, указанных в судебных решениях, вступивших в законную силу в отчетном периоде, по исковым требованиям о возмещении ущерба от незаконных действий или бездействия ГРБС или его должностных лиц </t>
  </si>
  <si>
    <t>Р = 100* Su / Sp</t>
  </si>
  <si>
    <t xml:space="preserve">S – cумма, подлежащая к взысканию по поступившим с начала финансового года исполнительным документам за счет средств бюджета Константиновского района  по состоянию на конец отчетного периода </t>
  </si>
  <si>
    <t xml:space="preserve">Е  - кассовое исполнение расходов ГРБС в отчетном периоде
</t>
  </si>
  <si>
    <t xml:space="preserve">Р = 100*S/Е
</t>
  </si>
  <si>
    <t>N-  общее фактическое количество сотрудников финансового (финансово-экономического) подразделения аппарата ГРБС по состоянию на 1 января текущего финансового года</t>
  </si>
  <si>
    <t xml:space="preserve">Jo - стоимость материальных запасов ГРБС по состоянию на 1 января отчетного финансового года </t>
  </si>
  <si>
    <t xml:space="preserve"> J1 - стоимость материальных запасов ГРБС по состоянию на 1 января года, следующего за отчетным
</t>
  </si>
  <si>
    <t>Общая оценка показателей  в баллах</t>
  </si>
  <si>
    <t xml:space="preserve">Итоговая оценка </t>
  </si>
  <si>
    <t>7.2. Повышение квалификации сотрудников финансового (финансово-экономического) подразделения аппарата ГРБС</t>
  </si>
  <si>
    <t>8.1. Динамика объема материальных запасов</t>
  </si>
  <si>
    <t>ГРБС</t>
  </si>
  <si>
    <t xml:space="preserve">Вес показателя 
в группе (в %)
</t>
  </si>
  <si>
    <t>Администрация района</t>
  </si>
  <si>
    <t>Отдел образования</t>
  </si>
  <si>
    <t>ОСЗН</t>
  </si>
  <si>
    <t>Финотдел</t>
  </si>
  <si>
    <t>Отдел культуры</t>
  </si>
  <si>
    <t>Оценка группы (Е группы)</t>
  </si>
  <si>
    <t xml:space="preserve">Вес группы в оценке( %)
</t>
  </si>
  <si>
    <t>2. Исполнение бюджета в части расходов</t>
  </si>
  <si>
    <t>3. Исполнение бюджета по доходам</t>
  </si>
  <si>
    <t>5. Контроль и аудит</t>
  </si>
  <si>
    <t>В баллах</t>
  </si>
  <si>
    <t>Общая оценка показателей группы в баллах</t>
  </si>
  <si>
    <t>ИТОГОВЫЙ ВЕС ПОКАЗАТЕЛЕЙ В ГРУППАХ</t>
  </si>
  <si>
    <t>ВЕС ПОКАЗАТЕЛЕЙ В ГРУППЕ</t>
  </si>
  <si>
    <t xml:space="preserve">Р – количество изменений в решение о бюджете.
Не учитываются изменения, вызванные:
 - поступлением, перераспределением областных и федеральных средств; 
- распределением зарезервированных средств; 
- изменением бюджетной классификации. 
</t>
  </si>
  <si>
    <t>E(P) = 1, в случае если внесены 3 и менее поправок в решение о бюджете по инициативе главных распорядителей бюджетных средств.</t>
  </si>
  <si>
    <t>E(P) = 0, в случае если внесены более 3 поправок в решение о бюджете по инициативе главных распорядителей бюджетных средств.</t>
  </si>
  <si>
    <t>2.1. Доля неисполненных на конец отчетного финансового года бюджетных ассигнований</t>
  </si>
  <si>
    <t xml:space="preserve">2.2. Равномерность расходов </t>
  </si>
  <si>
    <t xml:space="preserve">E(P)= 1, если Р &lt; 1,5% ,
E(P)= 0, если Р &gt; 1,5%
</t>
  </si>
  <si>
    <t>3.2. Эффективность управления дебиторской задолженностью по расчетам с дебиторами по доходам</t>
  </si>
  <si>
    <t>Наличие в годовой бюджетной отчетности за отчетный финансовый год заполненной таблицы «Сведения о проведении инвентаризаций» по форме, утвержденной Инструкцией о составлении и представлении годовой, квартальной и месячной отчетности об исполнении бюджетов бюджетной системы Российской Федерации (далее – таблица «Сведения о проведении инвентаризаций»)</t>
  </si>
  <si>
    <t xml:space="preserve">E(P)=1, если таблица «Сведения о проведении инвентаризаций» заполнена и соответствует требованиям Инструкции о составлении и представлении годовой, квартальной и месячной отчетности об исполнении бюджетов бюджетной системы Российской Федерации
E(P)=0, если таблица «Сведения о проведении инвентаризаций»  не заполнена или не соответствует требованиям Инструкции о составлении и представлении годовой, квартальной и месячной отчетности об исполнении бюджетов бюджетной системы Российской Федерации
</t>
  </si>
  <si>
    <t>Наличие правового акта ГРБС, обеспечивающего наличие процедур и порядка осуществления мониторинга результатов деятельности (результативности бюджетных расходов, качества предоставляемых услуг) подведомственных ПБС</t>
  </si>
  <si>
    <t xml:space="preserve">E(P)=1, если правовой акт ГРБС утвержден и содержит описание процедур и порядка осуществления мониторинга результатов деятельности (результативности бюджетных расходов, качества предоставляемых услуг) подведомственных ПБС;
E(P)=0, если правовой акт ГРБС не утвержден или не содержит описание процедур и порядка осуществления мониторинга результатов деятельности (результативности бюджетных расходов, качества предоставляемых услуг) подведомственных ПБС
Для ГРБС, не имеющих подведомственной сети, вес данного показателя пропорционально распределяется по остальным показателям качества финансового менеджмента.
</t>
  </si>
  <si>
    <t>6. Исполнение судебных актов</t>
  </si>
  <si>
    <t>6.1. Иски о возмещении ущерба (в денежном выражении)</t>
  </si>
  <si>
    <t>8. Управление активами</t>
  </si>
  <si>
    <t xml:space="preserve">b – объем бюджетных ассигнований ГРБС в отчетном финансовом году согласно сводной бюджетной росписи бюджета Константиновского района с учетом внесенных в нее изменений </t>
  </si>
  <si>
    <t>Е  - кассовое исполнение расходов ГРБС в отчетном финансовом году</t>
  </si>
  <si>
    <t>Е – кассовые расходы в IV квартале отчетного периода,</t>
  </si>
  <si>
    <t>Еср – средний объем кассовых расходов за I-III квартал отчетного периода.</t>
  </si>
  <si>
    <t>К – объем кредиторской задолженности по расчетам с поставщиками и подрядчиками по состоянию на 1 января года, следующего за отчетным</t>
  </si>
  <si>
    <t xml:space="preserve">Р = 100*К/Е, где
</t>
  </si>
  <si>
    <t xml:space="preserve">Р = 100 * (b – E)/b
</t>
  </si>
  <si>
    <t xml:space="preserve">P=(Е – Еср)*100/Еср (применяется при годовом мониторинге качества финансового менеджмента)
</t>
  </si>
  <si>
    <t>наличие</t>
  </si>
  <si>
    <t>1. Среднесрочное финансовое планирование</t>
  </si>
  <si>
    <t>7. Кадровый потенциал финансового (финансово-экономического) подразделения ГРБС</t>
  </si>
  <si>
    <t xml:space="preserve">Наличие правового акта ГРБС, регулирующего внутренние процедуры подготовки бюджетных проектировок на очередной финансовый год и плановый период
</t>
  </si>
  <si>
    <t xml:space="preserve">Наличие правового акта ГРБС, содержащего:
1) процедуры составления, ведения и утверждения бюджетных смет подведомственных ПБС, применяемые как к ГРБС, так и к другим подведомственным участникам бюджетного процесса;
2) порядок ведения бюджетных смет.
</t>
  </si>
  <si>
    <t>соответствует требованиям 1)-2)</t>
  </si>
  <si>
    <t xml:space="preserve">Вес группы в оценке ( %)
</t>
  </si>
  <si>
    <t xml:space="preserve">7.1. Квалификация сотрудников
финансового (финансово-экономического) подразделения аппарата ГРБС
</t>
  </si>
  <si>
    <t xml:space="preserve">E(P)=1, если правовой акт ГРБС полностью соответствует требованиям 1) – 2) настоящего пункта;
E(P)=0,5, если правовой акт ГРБС полностью или частично не соответствует хотя бы одному из требований 1) – 2) настоящего пункта;
E(P)=0, если правовой акт ГРБС полностью не соответствует требованиям 1) – 2) настоящего пункта
</t>
  </si>
  <si>
    <r>
      <t>P=100*D/R</t>
    </r>
    <r>
      <rPr>
        <vertAlign val="subscript"/>
        <sz val="8"/>
        <rFont val="Times New Roman"/>
        <family val="1"/>
      </rPr>
      <t>f</t>
    </r>
    <r>
      <rPr>
        <sz val="8"/>
        <rFont val="Times New Roman"/>
        <family val="1"/>
      </rPr>
      <t xml:space="preserve"> 
</t>
    </r>
  </si>
  <si>
    <r>
      <t xml:space="preserve">2     </t>
    </r>
    <r>
      <rPr>
        <sz val="8"/>
        <rFont val="Times New Roman"/>
        <family val="1"/>
      </rPr>
      <t xml:space="preserve">                              E(P)= 0, если P &gt;  50%,</t>
    </r>
  </si>
  <si>
    <r>
      <t xml:space="preserve">1  </t>
    </r>
    <r>
      <rPr>
        <sz val="8"/>
        <rFont val="Times New Roman"/>
        <family val="1"/>
      </rPr>
      <t xml:space="preserve">                               E(P)=1, если P </t>
    </r>
    <r>
      <rPr>
        <u val="single"/>
        <sz val="8"/>
        <rFont val="Times New Roman"/>
        <family val="1"/>
      </rPr>
      <t>&lt;</t>
    </r>
    <r>
      <rPr>
        <sz val="8"/>
        <rFont val="Times New Roman"/>
        <family val="1"/>
      </rPr>
      <t xml:space="preserve">  50%,</t>
    </r>
  </si>
  <si>
    <t>D - объем дебиторской задолженности по доходам по состоянию на 1 января года, следующего за отчетным</t>
  </si>
  <si>
    <t>При сдаче отчетности в Финансовый отдел Администрации Константиновского района отсутствуют ошибки</t>
  </si>
  <si>
    <t xml:space="preserve">E(P) = 1, если ошибки отсутствуют, E(P) = 0,5, если ошибки допущены 1 раз и исправлены, E(P) = 0, если ошибки допущены более одного раза и (или) направлено более двух электронных версий </t>
  </si>
  <si>
    <t xml:space="preserve">Р = 100*Su / Sp
</t>
  </si>
  <si>
    <t>6.3. Иски по денежным обязательствам получателей средств бюджета Константиновского района (в денежном выражении)</t>
  </si>
  <si>
    <t xml:space="preserve">Su – общая сумма исковых требований в денежном выражении, определенная судом к взысканию по судебным актам, вступившим в законную силу в отчетном периоде, по исковым требованиям о взыскании с казенных учреждений, подведомственных ГРБС, по принятым ими как получателями бюджетных средств денежным обязательствам </t>
  </si>
  <si>
    <t xml:space="preserve">Sp – общая сумма заявленных исковых требований в денежном выражении, указанных в судебных актах, вступивших в законную силу в отчетном периоде, по исковым требованиям о взыскании с казенных учреждений, подведомственных ГРБС, по принятым ими как получателями бюджетных средств денежным обязательствам 
</t>
  </si>
  <si>
    <t>6.4. Сумма, подлежащая взысканию по исполнительным документам</t>
  </si>
  <si>
    <t xml:space="preserve">E(P)=1-Р/2, если Р≤2%;                             E(P)=0, если Р&gt;2%               </t>
  </si>
  <si>
    <t xml:space="preserve">Nkd - фактическое количество сотрудников финансового (финансово-экономического) подразделения аппарата ГРБС, обладающих дипломами кандидата или доктора экономических наук по состоянию на 1 января текущего финансового года  
</t>
  </si>
  <si>
    <t>E(P)=1, если Р &lt; I;  E(P)= 1- (Р-I)/I, если I &lt; Р &lt; 2 I;                         E(P)= 0, если Р &gt; 2 I,                      где I-  значение инфляции в отчетном финансовом году</t>
  </si>
  <si>
    <t>Р=100*(1,5Nkd+Nh+Ns)/N</t>
  </si>
  <si>
    <t>представлена в срок</t>
  </si>
  <si>
    <t>в наличии, не соответствует требованиям</t>
  </si>
  <si>
    <t>в наличии</t>
  </si>
  <si>
    <t xml:space="preserve">E(P)=1, если правовой акт ГРБС утвержден
E(P)=0, если правовой акт ГРБС не утвержден </t>
  </si>
  <si>
    <t>Наличие правового акта ГРБС, регламентирующего осуществление контроля за выполнением муниципальных заданий и определяющего количественно измеримые финансовые санкции (штрафы, изъятия) за нарушение условий выполнения муниципальных заданий</t>
  </si>
  <si>
    <t>9. Качество управления средствами областного бюджета, бюджета Константиновского района в части целевых межбюджетных трансфертов, а также деятельностью бюджетных и автономных учреждений</t>
  </si>
  <si>
    <t>9.1. Качество управления средствами областного бюджета, бюджета Константиновского района в части целевых межбюджетных трансфертов</t>
  </si>
  <si>
    <t xml:space="preserve">9.2. Качество управления деятельностью бюджетных и автономных учреждений </t>
  </si>
  <si>
    <t xml:space="preserve">КРпос. - кассовые расходы бюджетов поселений за счет межбюджетных трансфертов из областного бюджета,  бюджета Константиновского района 
</t>
  </si>
  <si>
    <t xml:space="preserve"> Наличие правовых актов, обеспечивающих проведение мониторинга деятельности или качества финансового менеджмента бюджетных и автономных учреждений , содержащих показатели, отражающие:
1) состояние финансовой дисциплины;
2) качество плана финансово-хозяйственной деятельности;
3) степень выполнения плана финансово-хозяйственной деятельности за отчетный период;
4) выполнение муниципального задания;
5) причины возникновения остатков по субсидиям на финансовое обеспечение выполнения муниципального  задания на конец отчетного года;
6) полноту, достоверность составления и своевременность представления отчетности (бухгалтерской, отчетов о результатах деятельности бюджетных и автономных учреждений и использовании закрепленного за учреждением имущества и т.д.);
7) качество ведения учетной политики и или управленческого (аналитического) учета
</t>
  </si>
  <si>
    <t xml:space="preserve">Е=SUM Ei/n,                                        где
n =7 показателей,
Ei - равно 1, если показатель описывается в правовом акте,
Ei - равно 0, если показатель не описывается в правовом акте
 Показатель не рассчитывается по главным распорядителям, которые не являются учредителями бюджетных и (или) автономных учреждений.  В этом случае вес данного показателя распределяется по остальным показателям.
</t>
  </si>
  <si>
    <t>7.3. Укомплектованность  финансового (финансово-экономического) подразделения аппарата ГРБС</t>
  </si>
  <si>
    <r>
      <t xml:space="preserve">E(P)=1, если Р ≤ 50% или Su = 0 и Sp = 0;  E(P)= 1- (Р-50)/50, если 50% &lt; Р &lt; 100%;       E(P)= 0, если Р </t>
    </r>
    <r>
      <rPr>
        <u val="single"/>
        <sz val="8"/>
        <rFont val="Times New Roman"/>
        <family val="1"/>
      </rPr>
      <t>&gt;</t>
    </r>
    <r>
      <rPr>
        <sz val="8"/>
        <rFont val="Times New Roman"/>
        <family val="1"/>
      </rPr>
      <t xml:space="preserve"> 100%   </t>
    </r>
  </si>
  <si>
    <t>6.2. Иски о взыскании задолженности (в денежном выражении)</t>
  </si>
  <si>
    <t>Su – общая сумма исковых требований в денежном выражении, определенная судом к взысканию по судебным актам, вступившим в законную силу в отчетном периоде, по исковым требованиям к ГРБС, предъявленным в порядке субсидиарной ответственности по денежным обязательствам подведомственных ему получателей бюджетных средств</t>
  </si>
  <si>
    <t>Sp – общая сумма заявленных исковых требований в денежном выражении, указанных в судебных актах, вступивших в законную силу в отчетном периоде, по исковым требованиям к ГРБС, предъявленным в порядке субсидиарной ответственности по денежным обязательствам подведомственных ему получателей бюджетных средств</t>
  </si>
  <si>
    <t xml:space="preserve">Р = 100*Su / Sp,  
</t>
  </si>
  <si>
    <r>
      <t xml:space="preserve">E(P)=1, если Р ≤ 50% или Su  = 0 и Sp = 0;  E(P)= 1- (Р-50)/50, если 50% &lt; Р &lt; 100%;       E(P)= 0, если Р </t>
    </r>
    <r>
      <rPr>
        <u val="single"/>
        <sz val="8"/>
        <rFont val="Times New Roman"/>
        <family val="1"/>
      </rPr>
      <t>&gt;</t>
    </r>
    <r>
      <rPr>
        <sz val="8"/>
        <rFont val="Times New Roman"/>
        <family val="1"/>
      </rPr>
      <t xml:space="preserve"> 100%   </t>
    </r>
  </si>
  <si>
    <t>N – общее количество заявок, представленных ГРБС в Финансовый отдел Администрации Константиновского района в отчетном периоде</t>
  </si>
  <si>
    <t>P=100*N0/N</t>
  </si>
  <si>
    <t>5.4. Количество составленных протоколов об административных правонарушениях, выявленных в финансово-бюджетной сфере</t>
  </si>
  <si>
    <t>Наличие правонарушений, установленных в соответствии с  главой 15 Кодекса Российской Федерации об административных правонарушениях от 30.12.2001 № 195-ФЗ</t>
  </si>
  <si>
    <t xml:space="preserve">E(P)=1, если протоколы об административных правонарушениях отсутствуют,
E(P)=0, если составлены протоколы в отношении правонарушений, допущенных ГРБС
</t>
  </si>
  <si>
    <t>5.5. Проведение инвентаризаций</t>
  </si>
  <si>
    <t>Вес показателя 
в группе (в %)</t>
  </si>
  <si>
    <t>Р = R/Rобщ.</t>
  </si>
  <si>
    <t xml:space="preserve">Для ГРБС, которые устанавливают муниципальные задания для подведомственных учреждений:
E(P)=1-(1-Р)
Для ГРБС, не участвующих в расчете данного показателя вес оценки распределяется пропорционально по остальным показателям качества финансового менеджмента данного блока.
</t>
  </si>
  <si>
    <t>,</t>
  </si>
  <si>
    <t>2.3. Удельный вес муниципальных учреждений, выполнивших муниципальное задание на 100%, в общем количестве учреждений, которым установлены муниципальные задания</t>
  </si>
  <si>
    <t>Rобщ. - общее количество муниципальных учреждений, подведомственных ГРБС, которым установлены муниципальные задания в отчетном финансовом году</t>
  </si>
  <si>
    <t>Контрольно-счетная палата</t>
  </si>
  <si>
    <t>1.1. Своевременность представления реестра расходных обязательств</t>
  </si>
  <si>
    <t>Р – количество дней отклонения в представлении ГРБС реестра расходных обязательств после установленного срока в соответствии с ежегодным постановлением Администрации Константиновского района, утверждающим порядок и сроки составления бюджета на очередной финансовый год  и плановый период</t>
  </si>
  <si>
    <t xml:space="preserve">Е(Р)=0, если Р&gt;5;
Е(Р)=0,2, если Р=4;
Е(Р)=0,4, если Р=3;
Е(Р)=0,6, если Р=2;
Е(Р)=0,8, если Р=1;
Е(Р)=1, если Р=0.
</t>
  </si>
  <si>
    <t>1.3.  Доля муниципальных учреждений, для которых правовым актом ГРБС установлены количественно измеримые финансовые санкции (штрафы, изъятия) за нарушение условий выполнения муниципальных заданий</t>
  </si>
  <si>
    <t>1.3.1. Наличие правового акта ГРБС, регламентирующего осуществление контроля за выполнением муниципальных заданий и определяющего количественно измеримые финансовые санкции (штрафы, изъятия) за нарушение условий выполнения муниципальных заданий</t>
  </si>
  <si>
    <t>1.3.2. Доля муниципальных учреждений, для которых правовым актом ГРБС установлены количественно измеримые финансовые санкции (штрафы, изъятия) за нарушение условий выполнения муниципальных заданий</t>
  </si>
  <si>
    <t xml:space="preserve">1.4. Количество изменений в решение о бюджете, подготовленных по инициативе ГРБС </t>
  </si>
  <si>
    <t xml:space="preserve"> Rp – плановые объемы налоговых и неналоговых доходов по главному администратору доходов бюджета Константиновского района</t>
  </si>
  <si>
    <t>Rf - кассовое исполнение по налоговым и неналоговым доходам в отчетном периоде</t>
  </si>
  <si>
    <r>
      <t xml:space="preserve">4.1. Качество формирования ГРБС бюджетной отчетности и бухгалтерской отчетности </t>
    </r>
    <r>
      <rPr>
        <b/>
        <sz val="8"/>
        <color indexed="8"/>
        <rFont val="Times New Roman"/>
        <family val="1"/>
      </rPr>
      <t>муниципальных автономных и бюджетных учреждений</t>
    </r>
  </si>
  <si>
    <r>
      <t xml:space="preserve">4.2. Соблюдение сроков предоставления ГРБС бюджетной отчетности и бухгалтерской отчетности </t>
    </r>
    <r>
      <rPr>
        <b/>
        <sz val="8"/>
        <color indexed="8"/>
        <rFont val="Times New Roman"/>
        <family val="1"/>
      </rPr>
      <t>муниципальных автономных и бюджетных учреждений</t>
    </r>
  </si>
  <si>
    <t>ошибки отсутствуют</t>
  </si>
  <si>
    <t>5.1. Осуществление мероприятий внутреннего муниципального финансового контроля</t>
  </si>
  <si>
    <t>Наличие в годовой бюджетной отчетности за отчетный финансовый год заполненной таблицы «Сведения о результатах мероприятий внутреннего государственного (муниципального) финансового контроля» по форме, утвержденной Инструкцией о составлении и представлении годовой, квартальной и месячной отчетности об исполнении бюджетов бюджетной системы Российской Федерации (далее – таблица «Сведения о результатах мероприятий внутреннего государственного (муниципального) финансового контроля»), содержание которой функционально соответствует характеристикам внутреннего контроля, указанным в комментарии</t>
  </si>
  <si>
    <t xml:space="preserve">E(P)=1, если таблица «Сведения о результатах мероприятий внутреннего государственного (муниципального) финансового контроля» заполнена 
E(P)=0, если таблица «Сведения о результатах мероприятий внутреннего государственного (муниципального) финансового контроля» не заполнена 
</t>
  </si>
  <si>
    <t>5.2. Динамика нарушений, выявленных в ходе внешнего муниципального финансового контроля</t>
  </si>
  <si>
    <t>N1 - количество нарушений, выявленных в ходе внешнего муниципального финансового контроля, по состоянию на 1 января года, следующего за отчетным, определяемое в соответствии с таблицей «Сведения о результатах внешнего государственного (муниципального) финансового контроля»</t>
  </si>
  <si>
    <r>
      <t xml:space="preserve"> N</t>
    </r>
    <r>
      <rPr>
        <vertAlign val="subscript"/>
        <sz val="8"/>
        <rFont val="Times New Roman"/>
        <family val="1"/>
      </rPr>
      <t>0</t>
    </r>
    <r>
      <rPr>
        <sz val="8"/>
        <rFont val="Times New Roman"/>
        <family val="1"/>
      </rPr>
      <t xml:space="preserve"> - количество нарушений, выявленных в ходе внешний муниципальный финансовый контроль, по состоянию на 1 января отчетного года, определяемое в соответствии с таблицей «Сведения о результатах внешнего муниципального финансового контроля», заполненной по форме, утвержденной Инструкцией о составлении и представлении годовой, квартальной и месячной отчетности об исполнении бюджетов бюджетной системы Российской Федерации</t>
    </r>
  </si>
  <si>
    <t>N0 – количество заявок ГРБС, отказанных Финансовым отделом Администрации Константиновского района по итогам проведения процедуры санкционирования</t>
  </si>
  <si>
    <t>N  - общее фактическое количество сотрудников финансового (финансово-экономического) подразделения аппарата ГРБС, по состоянию на 1 января текущего финансового года
(за исключением сотрудников, находящихся в декретном отпуске и вновь принятых на работу в отчетном периоде)</t>
  </si>
  <si>
    <t>R - количество муниципальных учреждений, подведомственных ГРБС, для которых правовым актом ГРБС установлены количественно измеримые финансовые санкции (штрафы, изъятия) за нарушение условий выполнения муниципальных заданий в отчетном финансовом году</t>
  </si>
  <si>
    <t xml:space="preserve">Для ГРБС, которые устанавливают муниципальные задания для подведомственных учреждений:
E(P)=1, если правовой акт ГРБС содержит положения о применении количественно измеримых финансовых санкций (штрафов, изъятий) за нарушение условий выполнения муниципальных заданий;
E(P)=0, если правовой акт ГРБС не утвержден или не соответствует требованиям настоящего пункта;
Для ГРБС, не участвующих в расчете данного показателя вес оценки распределяется пропорционально по остальным показателям качества финансового менеджмента данного блока
</t>
  </si>
  <si>
    <t xml:space="preserve">КРгрбс - сумма межбюджетных трансфертов, перечисленная из бюджета Константиновского района ГРБС, включая  областные средства </t>
  </si>
  <si>
    <t xml:space="preserve">E(P)=P/100              </t>
  </si>
  <si>
    <t>Р=( 1-КРпос./КРгрбс)* 100</t>
  </si>
  <si>
    <t xml:space="preserve">Для ГРБС, которые устанавливают муниципальные  задания для подведомственных учреждений:
Е (Р) =1, если Р = 100%,
Е (Р) = 0, если Р &lt; 100%
Для ГРБС, не участвующих в расчете данного показателя вес оценки распределяется пропорционально по остальным показателям качества финансового менеджмента данного блока.
</t>
  </si>
  <si>
    <t>1.2. Качество правового акта ГРБС, регулирующего внутренние процедуры подготовки бюджетных проектировок на очередной финансовый год и (или) плановый период</t>
  </si>
  <si>
    <t>2.4. Объем просроченной кредиторской задолженности</t>
  </si>
  <si>
    <t>2.7. Своевременность заключения муниципальных контрактов на поставки товаров, оказание услуг, выполнение работ для муниципальных нужд</t>
  </si>
  <si>
    <t>3.1. Отклонение от плана формирования налоговых и неналоговых доходов по главному администратору доходов бюджета Константиновского района</t>
  </si>
  <si>
    <t xml:space="preserve">Р =100* (Rp-Rf)/Rp,  если Rp&gt;Rf                                               </t>
  </si>
  <si>
    <t xml:space="preserve">Р =100* (Rf-Rp)/Rp,  если Rp≤Rf                     </t>
  </si>
  <si>
    <t>E(p)=1, если P≤15%;                               E(p)=1-(P-15)/15, если 15%≤  P≤30%;                   E(p)= 0, если P&gt;30%                                           Если ГРБС не является главным администратором доходов бюджета Константиновского района, вес данного показателя пропорционально распределяется по остальным показателям качества финансового менеджмента.                                             Е (Р)=1, если Rp&lt;Rf и Rp=0, при условии наличия фактических поступлений по прочим неналоговым доходам и поступлениям, носящим разовый характер.</t>
  </si>
  <si>
    <t>5.3. Несоответствие заявок на оплату расходов, представленных в Финансовый отдел Администрации Константиновского района, требованиям бюджетного законодательства</t>
  </si>
  <si>
    <t>P=100*(No-N1)/No</t>
  </si>
  <si>
    <t xml:space="preserve">E(P) = 1,  если P ≤ 0,1 %;
E(P) = 0,8, если P &gt; 0,1 % и ≤ 0,5 %;
E(P) = 0,5, если P &gt; 0,5 % и ≤ 2 %;
E(P) = 0,2, если P &gt; 2 % и ≤ 5 %;
E(P) = 0, если P &gt; 5 %.
</t>
  </si>
  <si>
    <t>5.6. 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ПБС</t>
  </si>
  <si>
    <t xml:space="preserve">
Qз.контр. - объем принятых бюджетных обязательств путем заключения муниципальных контрактов, иных договоров на поставки товаров, оказание услуг, выполнение работ для муниципальных нужд в первом полугодии отчетного финансового года,</t>
  </si>
  <si>
    <t xml:space="preserve">Q дов.лим. - объем доведенных лимитов бюджетных обязательств до ГРБС на поставку товаров, оказание услуг, выполнение работ для муниципальных нужд в первом полугодии отчетного финансового года
</t>
  </si>
  <si>
    <t>5.7. Наличие нарушений бюджетного законодательства, допущенных главными распорядителями средств бюджета Константиновского района при осуществлении мероприятий внутреннего муниципального финансового контроля, требующих возврата  предоставленных средств и возмещение причиненного ущерба</t>
  </si>
  <si>
    <t>Наличие нарушений бюджетного законодательства и законодательства в сфере закупок, допущенных главными распорядителями средств бюджета Константиновского района в отчетном финансовом году, в отношении которых проводились контрольные мероприятия</t>
  </si>
  <si>
    <t xml:space="preserve">E(P) = 1 , если не выявлены нарушения бюджетного законодательства;
E(P) = 0,5, если по выявленным нарушениям бюджетного законодательства составлены представления, предписания, по которым не требуется возврат  предоставленных средств и возмещение причиненного ущерба;
 E(P) = 0,25, если по выявленным нарушениям бюджетного законодательства составлены представления, предписания, по которым необходимо произвести возврат предоставленных средств и возмещение причиненного ущерба;
E(P) = 0, если по выявленным нарушениям бюджетного законодательства составлены представления, предписания, по которым необходимо произвести возврат предоставленных средств и возмещение причиненного ущерба не исполнены в срок.
По ГРБС, в отношении которых не проводились контрольные мероприятия в отчетном финансовом году, вес данного показателя пропорционально распределяется по остальным показателям качества финансового менеджмента данного блока.
</t>
  </si>
  <si>
    <t>инфляция 104,0 % 2018 год (из прогноза социально-экономического развития Константиновского района на 2018-2020 годы)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</si>
</sst>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000"/>
    <numFmt numFmtId="186" formatCode="0.00000"/>
    <numFmt numFmtId="187" formatCode="0.000000"/>
    <numFmt numFmtId="188" formatCode="0.0000000"/>
    <numFmt numFmtId="189" formatCode="0.00000000"/>
    <numFmt numFmtId="190" formatCode="0.0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u val="single"/>
      <sz val="7.3"/>
      <color indexed="12"/>
      <name val="Arial Cyr"/>
      <family val="0"/>
    </font>
    <font>
      <u val="single"/>
      <sz val="7.3"/>
      <color indexed="36"/>
      <name val="Arial Cyr"/>
      <family val="0"/>
    </font>
    <font>
      <sz val="10"/>
      <color indexed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vertAlign val="subscript"/>
      <sz val="8"/>
      <name val="Times New Roman"/>
      <family val="1"/>
    </font>
    <font>
      <u val="single"/>
      <sz val="8"/>
      <name val="Times New Roman"/>
      <family val="1"/>
    </font>
    <font>
      <b/>
      <sz val="8"/>
      <color indexed="8"/>
      <name val="Times New Roman CYR"/>
      <family val="0"/>
    </font>
    <font>
      <b/>
      <sz val="8"/>
      <color indexed="8"/>
      <name val="Times New Roman"/>
      <family val="1"/>
    </font>
    <font>
      <sz val="6"/>
      <name val="Arial Cyr"/>
      <family val="0"/>
    </font>
    <font>
      <sz val="10"/>
      <color indexed="10"/>
      <name val="Arial Cyr"/>
      <family val="0"/>
    </font>
    <font>
      <sz val="6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8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2" fontId="0" fillId="0" borderId="11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90" fontId="0" fillId="0" borderId="10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/>
    </xf>
    <xf numFmtId="0" fontId="0" fillId="0" borderId="10" xfId="0" applyFill="1" applyBorder="1" applyAlignment="1">
      <alignment wrapText="1"/>
    </xf>
    <xf numFmtId="2" fontId="0" fillId="0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9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33" borderId="14" xfId="0" applyFont="1" applyFill="1" applyBorder="1" applyAlignment="1">
      <alignment horizontal="center" vertical="top" wrapText="1"/>
    </xf>
    <xf numFmtId="0" fontId="11" fillId="32" borderId="14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1" fillId="0" borderId="15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top" wrapText="1"/>
    </xf>
    <xf numFmtId="0" fontId="11" fillId="0" borderId="11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32" borderId="17" xfId="0" applyFont="1" applyFill="1" applyBorder="1" applyAlignment="1">
      <alignment horizontal="center" vertical="center" wrapText="1"/>
    </xf>
    <xf numFmtId="2" fontId="0" fillId="34" borderId="10" xfId="0" applyNumberFormat="1" applyFont="1" applyFill="1" applyBorder="1" applyAlignment="1">
      <alignment/>
    </xf>
    <xf numFmtId="2" fontId="0" fillId="34" borderId="10" xfId="0" applyNumberFormat="1" applyFill="1" applyBorder="1" applyAlignment="1">
      <alignment/>
    </xf>
    <xf numFmtId="0" fontId="9" fillId="0" borderId="0" xfId="0" applyFont="1" applyFill="1" applyAlignment="1">
      <alignment/>
    </xf>
    <xf numFmtId="2" fontId="17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2" fontId="0" fillId="0" borderId="11" xfId="0" applyNumberFormat="1" applyFont="1" applyFill="1" applyBorder="1" applyAlignment="1">
      <alignment/>
    </xf>
    <xf numFmtId="2" fontId="17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190" fontId="0" fillId="0" borderId="0" xfId="0" applyNumberFormat="1" applyFill="1" applyAlignment="1">
      <alignment/>
    </xf>
    <xf numFmtId="190" fontId="9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/>
    </xf>
    <xf numFmtId="2" fontId="18" fillId="0" borderId="10" xfId="0" applyNumberFormat="1" applyFont="1" applyFill="1" applyBorder="1" applyAlignment="1">
      <alignment/>
    </xf>
    <xf numFmtId="0" fontId="11" fillId="32" borderId="14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/>
    </xf>
    <xf numFmtId="190" fontId="0" fillId="0" borderId="10" xfId="0" applyNumberForma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2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2" fontId="19" fillId="0" borderId="10" xfId="0" applyNumberFormat="1" applyFont="1" applyFill="1" applyBorder="1" applyAlignment="1">
      <alignment/>
    </xf>
    <xf numFmtId="190" fontId="0" fillId="0" borderId="0" xfId="0" applyNumberFormat="1" applyAlignment="1">
      <alignment/>
    </xf>
    <xf numFmtId="2" fontId="18" fillId="18" borderId="10" xfId="0" applyNumberFormat="1" applyFont="1" applyFill="1" applyBorder="1" applyAlignment="1">
      <alignment horizontal="center"/>
    </xf>
    <xf numFmtId="1" fontId="53" fillId="0" borderId="10" xfId="0" applyNumberFormat="1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54" fillId="0" borderId="0" xfId="0" applyFont="1" applyAlignment="1">
      <alignment horizontal="center" vertical="center" wrapText="1"/>
    </xf>
    <xf numFmtId="0" fontId="11" fillId="35" borderId="14" xfId="0" applyFont="1" applyFill="1" applyBorder="1" applyAlignment="1">
      <alignment horizontal="center" vertical="center" wrapText="1"/>
    </xf>
    <xf numFmtId="2" fontId="53" fillId="0" borderId="10" xfId="0" applyNumberFormat="1" applyFont="1" applyFill="1" applyBorder="1" applyAlignment="1">
      <alignment horizontal="center"/>
    </xf>
    <xf numFmtId="190" fontId="53" fillId="0" borderId="10" xfId="0" applyNumberFormat="1" applyFont="1" applyBorder="1" applyAlignment="1">
      <alignment/>
    </xf>
    <xf numFmtId="0" fontId="53" fillId="0" borderId="10" xfId="0" applyFont="1" applyBorder="1" applyAlignment="1">
      <alignment/>
    </xf>
    <xf numFmtId="190" fontId="53" fillId="0" borderId="10" xfId="0" applyNumberFormat="1" applyFont="1" applyFill="1" applyBorder="1" applyAlignment="1">
      <alignment horizontal="center"/>
    </xf>
    <xf numFmtId="2" fontId="53" fillId="0" borderId="10" xfId="0" applyNumberFormat="1" applyFont="1" applyFill="1" applyBorder="1" applyAlignment="1">
      <alignment/>
    </xf>
    <xf numFmtId="0" fontId="11" fillId="32" borderId="15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 wrapText="1"/>
    </xf>
    <xf numFmtId="0" fontId="11" fillId="32" borderId="14" xfId="0" applyFont="1" applyFill="1" applyBorder="1" applyAlignment="1">
      <alignment horizontal="center" vertical="center" wrapText="1"/>
    </xf>
    <xf numFmtId="0" fontId="10" fillId="36" borderId="15" xfId="0" applyFont="1" applyFill="1" applyBorder="1" applyAlignment="1">
      <alignment horizontal="center" vertical="center" wrapText="1"/>
    </xf>
    <xf numFmtId="0" fontId="10" fillId="36" borderId="12" xfId="0" applyFont="1" applyFill="1" applyBorder="1" applyAlignment="1">
      <alignment horizontal="center" vertical="center" wrapText="1"/>
    </xf>
    <xf numFmtId="0" fontId="10" fillId="36" borderId="14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5" borderId="1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top" wrapText="1"/>
    </xf>
    <xf numFmtId="0" fontId="11" fillId="33" borderId="14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37" borderId="15" xfId="0" applyFont="1" applyFill="1" applyBorder="1" applyAlignment="1">
      <alignment horizontal="center" vertical="center" wrapText="1"/>
    </xf>
    <xf numFmtId="0" fontId="10" fillId="37" borderId="12" xfId="0" applyFont="1" applyFill="1" applyBorder="1" applyAlignment="1">
      <alignment horizontal="center" vertical="center" wrapText="1"/>
    </xf>
    <xf numFmtId="0" fontId="10" fillId="37" borderId="14" xfId="0" applyFont="1" applyFill="1" applyBorder="1" applyAlignment="1">
      <alignment horizontal="center" vertical="center" wrapText="1"/>
    </xf>
    <xf numFmtId="0" fontId="10" fillId="38" borderId="15" xfId="0" applyFont="1" applyFill="1" applyBorder="1" applyAlignment="1">
      <alignment horizontal="center" vertical="center" wrapText="1"/>
    </xf>
    <xf numFmtId="0" fontId="10" fillId="38" borderId="12" xfId="0" applyFont="1" applyFill="1" applyBorder="1" applyAlignment="1">
      <alignment horizontal="center" vertical="center" wrapText="1"/>
    </xf>
    <xf numFmtId="0" fontId="10" fillId="38" borderId="14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37" borderId="14" xfId="0" applyFont="1" applyFill="1" applyBorder="1" applyAlignment="1">
      <alignment horizontal="center" vertical="top" wrapText="1"/>
    </xf>
    <xf numFmtId="0" fontId="10" fillId="37" borderId="10" xfId="0" applyFont="1" applyFill="1" applyBorder="1" applyAlignment="1">
      <alignment horizontal="center" vertical="top" wrapText="1"/>
    </xf>
    <xf numFmtId="0" fontId="10" fillId="34" borderId="14" xfId="0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38" borderId="14" xfId="0" applyFont="1" applyFill="1" applyBorder="1" applyAlignment="1">
      <alignment horizontal="center" vertical="top" wrapText="1"/>
    </xf>
    <xf numFmtId="0" fontId="10" fillId="38" borderId="10" xfId="0" applyFont="1" applyFill="1" applyBorder="1" applyAlignment="1">
      <alignment horizontal="center" vertical="top" wrapText="1"/>
    </xf>
    <xf numFmtId="0" fontId="10" fillId="36" borderId="15" xfId="0" applyFont="1" applyFill="1" applyBorder="1" applyAlignment="1">
      <alignment horizontal="center" vertical="top" wrapText="1"/>
    </xf>
    <xf numFmtId="0" fontId="10" fillId="36" borderId="14" xfId="0" applyFont="1" applyFill="1" applyBorder="1" applyAlignment="1">
      <alignment horizontal="center" vertical="top" wrapText="1"/>
    </xf>
    <xf numFmtId="0" fontId="10" fillId="32" borderId="15" xfId="0" applyFont="1" applyFill="1" applyBorder="1" applyAlignment="1">
      <alignment horizontal="center" vertical="top" wrapText="1"/>
    </xf>
    <xf numFmtId="0" fontId="10" fillId="32" borderId="14" xfId="0" applyFont="1" applyFill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5" fillId="38" borderId="15" xfId="0" applyFont="1" applyFill="1" applyBorder="1" applyAlignment="1">
      <alignment horizontal="center" vertical="center" wrapText="1"/>
    </xf>
    <xf numFmtId="0" fontId="5" fillId="38" borderId="1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5" fillId="37" borderId="15" xfId="0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5.w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7.wmf" /><Relationship Id="rId2" Type="http://schemas.openxmlformats.org/officeDocument/2006/relationships/image" Target="../media/image3.wmf" /><Relationship Id="rId3" Type="http://schemas.openxmlformats.org/officeDocument/2006/relationships/image" Target="../media/image6.w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8.w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8.wmf" /><Relationship Id="rId2" Type="http://schemas.openxmlformats.org/officeDocument/2006/relationships/image" Target="../media/image9.wmf" /><Relationship Id="rId3" Type="http://schemas.openxmlformats.org/officeDocument/2006/relationships/image" Target="../media/image10.w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8.wmf" /><Relationship Id="rId2" Type="http://schemas.openxmlformats.org/officeDocument/2006/relationships/image" Target="../media/image9.wmf" /><Relationship Id="rId3" Type="http://schemas.openxmlformats.org/officeDocument/2006/relationships/image" Target="../media/image11.wmf" /><Relationship Id="rId4" Type="http://schemas.openxmlformats.org/officeDocument/2006/relationships/image" Target="../media/image12.w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8.wmf" /><Relationship Id="rId2" Type="http://schemas.openxmlformats.org/officeDocument/2006/relationships/image" Target="../media/image9.wmf" /><Relationship Id="rId3" Type="http://schemas.openxmlformats.org/officeDocument/2006/relationships/image" Target="../media/image10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vmlDrawing" Target="../drawings/vmlDrawing4.v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vmlDrawing" Target="../drawings/vmlDrawing6.vm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oleObject" Target="../embeddings/oleObject_7_2.bin" /><Relationship Id="rId4" Type="http://schemas.openxmlformats.org/officeDocument/2006/relationships/oleObject" Target="../embeddings/oleObject_7_3.bin" /><Relationship Id="rId5" Type="http://schemas.openxmlformats.org/officeDocument/2006/relationships/vmlDrawing" Target="../drawings/vmlDrawing7.vml" /><Relationship Id="rId6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oleObject" Target="../embeddings/oleObject_8_1.bin" /><Relationship Id="rId3" Type="http://schemas.openxmlformats.org/officeDocument/2006/relationships/oleObject" Target="../embeddings/oleObject_8_2.bin" /><Relationship Id="rId4" Type="http://schemas.openxmlformats.org/officeDocument/2006/relationships/vmlDrawing" Target="../drawings/vmlDrawing8.vml" /><Relationship Id="rId5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C14"/>
  <sheetViews>
    <sheetView view="pageBreakPreview" zoomScaleNormal="80" zoomScaleSheetLayoutView="100" zoomScalePageLayoutView="0" workbookViewId="0" topLeftCell="A1">
      <pane xSplit="1" ySplit="8" topLeftCell="H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Y11" sqref="Y11"/>
    </sheetView>
  </sheetViews>
  <sheetFormatPr defaultColWidth="9.00390625" defaultRowHeight="12.75"/>
  <cols>
    <col min="1" max="1" width="24.875" style="0" bestFit="1" customWidth="1"/>
    <col min="2" max="2" width="23.25390625" style="0" customWidth="1"/>
    <col min="3" max="3" width="16.25390625" style="0" customWidth="1"/>
    <col min="4" max="4" width="9.875" style="0" customWidth="1"/>
    <col min="5" max="5" width="9.375" style="0" bestFit="1" customWidth="1"/>
    <col min="6" max="6" width="17.875" style="0" customWidth="1"/>
    <col min="7" max="7" width="16.75390625" style="0" customWidth="1"/>
    <col min="8" max="8" width="10.625" style="0" customWidth="1"/>
    <col min="10" max="10" width="17.25390625" style="0" customWidth="1"/>
    <col min="11" max="11" width="22.75390625" style="0" customWidth="1"/>
    <col min="12" max="13" width="8.00390625" style="0" customWidth="1"/>
    <col min="14" max="14" width="12.75390625" style="0" customWidth="1"/>
    <col min="15" max="16" width="8.00390625" style="0" customWidth="1"/>
    <col min="17" max="17" width="14.25390625" style="0" customWidth="1"/>
    <col min="18" max="18" width="8.125" style="0" customWidth="1"/>
    <col min="19" max="20" width="8.00390625" style="0" customWidth="1"/>
    <col min="21" max="21" width="13.875" style="0" customWidth="1"/>
    <col min="22" max="22" width="10.375" style="0" customWidth="1"/>
    <col min="23" max="23" width="10.25390625" style="0" customWidth="1"/>
    <col min="24" max="24" width="7.375" style="0" customWidth="1"/>
    <col min="25" max="25" width="8.625" style="0" customWidth="1"/>
    <col min="26" max="26" width="10.75390625" style="0" bestFit="1" customWidth="1"/>
    <col min="27" max="27" width="10.375" style="0" customWidth="1"/>
    <col min="28" max="29" width="9.375" style="0" customWidth="1"/>
  </cols>
  <sheetData>
    <row r="1" ht="9" customHeight="1"/>
    <row r="2" ht="12.75" hidden="1"/>
    <row r="3" ht="12.75" hidden="1"/>
    <row r="4" spans="1:29" ht="12.75">
      <c r="A4" s="98" t="s">
        <v>44</v>
      </c>
      <c r="B4" s="103" t="s">
        <v>83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5"/>
    </row>
    <row r="5" spans="1:29" ht="56.25" customHeight="1">
      <c r="A5" s="102"/>
      <c r="B5" s="108" t="s">
        <v>137</v>
      </c>
      <c r="C5" s="109"/>
      <c r="D5" s="110"/>
      <c r="E5" s="96" t="s">
        <v>56</v>
      </c>
      <c r="F5" s="106" t="s">
        <v>163</v>
      </c>
      <c r="G5" s="106"/>
      <c r="H5" s="107"/>
      <c r="I5" s="96" t="s">
        <v>56</v>
      </c>
      <c r="J5" s="117" t="s">
        <v>140</v>
      </c>
      <c r="K5" s="117"/>
      <c r="L5" s="117"/>
      <c r="M5" s="117"/>
      <c r="N5" s="117"/>
      <c r="O5" s="117"/>
      <c r="P5" s="117"/>
      <c r="Q5" s="117"/>
      <c r="R5" s="117"/>
      <c r="S5" s="117"/>
      <c r="T5" s="96" t="s">
        <v>56</v>
      </c>
      <c r="U5" s="95" t="s">
        <v>143</v>
      </c>
      <c r="V5" s="95"/>
      <c r="W5" s="95"/>
      <c r="X5" s="95"/>
      <c r="Y5" s="96" t="s">
        <v>56</v>
      </c>
      <c r="Z5" s="87" t="s">
        <v>59</v>
      </c>
      <c r="AA5" s="90" t="s">
        <v>57</v>
      </c>
      <c r="AB5" s="111" t="s">
        <v>88</v>
      </c>
      <c r="AC5" s="114" t="s">
        <v>51</v>
      </c>
    </row>
    <row r="6" spans="1:29" ht="63.75" customHeight="1">
      <c r="A6" s="102"/>
      <c r="B6" s="98" t="s">
        <v>138</v>
      </c>
      <c r="C6" s="100" t="s">
        <v>139</v>
      </c>
      <c r="D6" s="87" t="s">
        <v>45</v>
      </c>
      <c r="E6" s="97"/>
      <c r="F6" s="98" t="s">
        <v>85</v>
      </c>
      <c r="G6" s="93" t="s">
        <v>109</v>
      </c>
      <c r="H6" s="87" t="s">
        <v>45</v>
      </c>
      <c r="I6" s="97"/>
      <c r="J6" s="117" t="s">
        <v>141</v>
      </c>
      <c r="K6" s="117"/>
      <c r="L6" s="117"/>
      <c r="M6" s="117" t="s">
        <v>56</v>
      </c>
      <c r="N6" s="117" t="s">
        <v>142</v>
      </c>
      <c r="O6" s="117"/>
      <c r="P6" s="117"/>
      <c r="Q6" s="117"/>
      <c r="R6" s="117"/>
      <c r="S6" s="117" t="s">
        <v>56</v>
      </c>
      <c r="T6" s="97"/>
      <c r="U6" s="98" t="s">
        <v>60</v>
      </c>
      <c r="V6" s="93" t="s">
        <v>61</v>
      </c>
      <c r="W6" s="93" t="s">
        <v>62</v>
      </c>
      <c r="X6" s="87" t="s">
        <v>45</v>
      </c>
      <c r="Y6" s="97"/>
      <c r="Z6" s="88"/>
      <c r="AA6" s="91"/>
      <c r="AB6" s="112"/>
      <c r="AC6" s="115"/>
    </row>
    <row r="7" spans="1:29" ht="281.25">
      <c r="A7" s="99"/>
      <c r="B7" s="99"/>
      <c r="C7" s="101"/>
      <c r="D7" s="89"/>
      <c r="E7" s="95"/>
      <c r="F7" s="99"/>
      <c r="G7" s="94"/>
      <c r="H7" s="89"/>
      <c r="I7" s="95"/>
      <c r="J7" s="22" t="s">
        <v>110</v>
      </c>
      <c r="K7" s="22" t="s">
        <v>158</v>
      </c>
      <c r="L7" s="22" t="s">
        <v>130</v>
      </c>
      <c r="M7" s="117"/>
      <c r="N7" s="22" t="s">
        <v>157</v>
      </c>
      <c r="O7" s="22" t="s">
        <v>135</v>
      </c>
      <c r="P7" s="22" t="s">
        <v>131</v>
      </c>
      <c r="Q7" s="22" t="s">
        <v>132</v>
      </c>
      <c r="R7" s="22" t="s">
        <v>130</v>
      </c>
      <c r="S7" s="117"/>
      <c r="T7" s="95"/>
      <c r="U7" s="99"/>
      <c r="V7" s="94"/>
      <c r="W7" s="94"/>
      <c r="X7" s="89"/>
      <c r="Y7" s="95"/>
      <c r="Z7" s="89"/>
      <c r="AA7" s="92"/>
      <c r="AB7" s="113"/>
      <c r="AC7" s="116"/>
    </row>
    <row r="8" spans="1:29" s="2" customFormat="1" ht="12.75">
      <c r="A8" s="27">
        <v>1</v>
      </c>
      <c r="B8" s="27">
        <v>2</v>
      </c>
      <c r="C8" s="27">
        <v>5</v>
      </c>
      <c r="D8" s="27">
        <v>6</v>
      </c>
      <c r="E8" s="27">
        <v>7</v>
      </c>
      <c r="F8" s="27">
        <v>8</v>
      </c>
      <c r="G8" s="27">
        <v>9</v>
      </c>
      <c r="H8" s="27">
        <v>10</v>
      </c>
      <c r="I8" s="27">
        <v>11</v>
      </c>
      <c r="J8" s="27">
        <v>12</v>
      </c>
      <c r="K8" s="27">
        <v>13</v>
      </c>
      <c r="L8" s="27">
        <v>14</v>
      </c>
      <c r="M8" s="27">
        <v>15</v>
      </c>
      <c r="N8" s="27">
        <v>16</v>
      </c>
      <c r="O8" s="27">
        <v>17</v>
      </c>
      <c r="P8" s="27">
        <v>18</v>
      </c>
      <c r="Q8" s="27">
        <v>19</v>
      </c>
      <c r="R8" s="27">
        <v>20</v>
      </c>
      <c r="S8" s="27">
        <v>21</v>
      </c>
      <c r="T8" s="27">
        <v>22</v>
      </c>
      <c r="U8" s="27">
        <v>23</v>
      </c>
      <c r="V8" s="27">
        <v>24</v>
      </c>
      <c r="W8" s="27">
        <v>25</v>
      </c>
      <c r="X8" s="27">
        <v>26</v>
      </c>
      <c r="Y8" s="27">
        <v>27</v>
      </c>
      <c r="Z8" s="27">
        <v>28</v>
      </c>
      <c r="AA8" s="27">
        <v>29</v>
      </c>
      <c r="AB8" s="27">
        <v>30</v>
      </c>
      <c r="AC8" s="27">
        <v>31</v>
      </c>
    </row>
    <row r="9" spans="1:29" s="2" customFormat="1" ht="12.75">
      <c r="A9" s="1" t="s">
        <v>46</v>
      </c>
      <c r="B9" s="53">
        <v>0</v>
      </c>
      <c r="C9" s="59">
        <v>1</v>
      </c>
      <c r="D9" s="8">
        <v>30</v>
      </c>
      <c r="E9" s="8">
        <f aca="true" t="shared" si="0" ref="E9:E14">(C9*D9)</f>
        <v>30</v>
      </c>
      <c r="F9" s="57" t="s">
        <v>108</v>
      </c>
      <c r="G9" s="57">
        <v>1</v>
      </c>
      <c r="H9" s="60">
        <v>30</v>
      </c>
      <c r="I9" s="8">
        <f aca="true" t="shared" si="1" ref="I9:I14">G9*H9</f>
        <v>30</v>
      </c>
      <c r="J9" s="75" t="s">
        <v>107</v>
      </c>
      <c r="K9" s="73">
        <v>0</v>
      </c>
      <c r="L9" s="73">
        <v>15</v>
      </c>
      <c r="M9" s="73">
        <f>K9*L9</f>
        <v>0</v>
      </c>
      <c r="N9" s="73">
        <v>0</v>
      </c>
      <c r="O9" s="5">
        <v>2</v>
      </c>
      <c r="P9" s="5">
        <f>N9/O9</f>
        <v>0</v>
      </c>
      <c r="Q9" s="5">
        <f>1-(1-P9)</f>
        <v>0</v>
      </c>
      <c r="R9" s="5">
        <v>10</v>
      </c>
      <c r="S9" s="5">
        <f>Q9*R9</f>
        <v>0</v>
      </c>
      <c r="T9" s="5">
        <f>M9+S9</f>
        <v>0</v>
      </c>
      <c r="U9" s="78">
        <v>94</v>
      </c>
      <c r="V9" s="4"/>
      <c r="W9" s="62">
        <v>0</v>
      </c>
      <c r="X9" s="14">
        <v>15</v>
      </c>
      <c r="Y9" s="5">
        <f aca="true" t="shared" si="2" ref="Y9:Y14">(V9+W9)*X9</f>
        <v>0</v>
      </c>
      <c r="Z9" s="5">
        <f aca="true" t="shared" si="3" ref="Z9:Z14">D9+H9+L9+R9+X9</f>
        <v>100</v>
      </c>
      <c r="AA9" s="4">
        <f aca="true" t="shared" si="4" ref="AA9:AA14">E9+I9+T9+Y9</f>
        <v>60</v>
      </c>
      <c r="AB9" s="77">
        <v>15</v>
      </c>
      <c r="AC9" s="5">
        <f aca="true" t="shared" si="5" ref="AC9:AC14">(AA9*AB9)/100</f>
        <v>9</v>
      </c>
    </row>
    <row r="10" spans="1:29" s="2" customFormat="1" ht="12.75">
      <c r="A10" s="1" t="s">
        <v>136</v>
      </c>
      <c r="B10" s="1">
        <v>0</v>
      </c>
      <c r="C10" s="71">
        <v>1</v>
      </c>
      <c r="D10" s="5">
        <v>40</v>
      </c>
      <c r="E10" s="8">
        <f t="shared" si="0"/>
        <v>40</v>
      </c>
      <c r="F10" s="57" t="s">
        <v>108</v>
      </c>
      <c r="G10" s="4">
        <v>1</v>
      </c>
      <c r="H10" s="5">
        <v>40</v>
      </c>
      <c r="I10" s="8">
        <f t="shared" si="1"/>
        <v>40</v>
      </c>
      <c r="J10" s="74"/>
      <c r="K10" s="74"/>
      <c r="L10" s="74"/>
      <c r="M10" s="74"/>
      <c r="N10" s="74"/>
      <c r="O10" s="1"/>
      <c r="P10" s="1"/>
      <c r="Q10" s="1"/>
      <c r="R10" s="1"/>
      <c r="S10" s="1"/>
      <c r="T10" s="1"/>
      <c r="U10" s="79">
        <v>1</v>
      </c>
      <c r="V10" s="1">
        <v>1</v>
      </c>
      <c r="W10" s="1"/>
      <c r="X10" s="14">
        <v>20</v>
      </c>
      <c r="Y10" s="5">
        <f t="shared" si="2"/>
        <v>20</v>
      </c>
      <c r="Z10" s="5">
        <f t="shared" si="3"/>
        <v>100</v>
      </c>
      <c r="AA10" s="4">
        <f t="shared" si="4"/>
        <v>100</v>
      </c>
      <c r="AB10" s="77">
        <v>16.1</v>
      </c>
      <c r="AC10" s="5">
        <f t="shared" si="5"/>
        <v>16.1</v>
      </c>
    </row>
    <row r="11" spans="1:29" s="2" customFormat="1" ht="12.75">
      <c r="A11" s="1" t="s">
        <v>49</v>
      </c>
      <c r="B11" s="53">
        <v>0</v>
      </c>
      <c r="C11" s="59">
        <v>1</v>
      </c>
      <c r="D11" s="8">
        <v>40</v>
      </c>
      <c r="E11" s="8">
        <f t="shared" si="0"/>
        <v>40</v>
      </c>
      <c r="F11" s="57" t="s">
        <v>108</v>
      </c>
      <c r="G11" s="57">
        <v>1</v>
      </c>
      <c r="H11" s="60">
        <v>40</v>
      </c>
      <c r="I11" s="8">
        <f t="shared" si="1"/>
        <v>40</v>
      </c>
      <c r="J11" s="73"/>
      <c r="K11" s="73"/>
      <c r="L11" s="73"/>
      <c r="M11" s="73"/>
      <c r="N11" s="73"/>
      <c r="O11" s="5"/>
      <c r="P11" s="5"/>
      <c r="Q11" s="5"/>
      <c r="R11" s="5"/>
      <c r="S11" s="5"/>
      <c r="T11" s="5"/>
      <c r="U11" s="78">
        <v>5</v>
      </c>
      <c r="V11" s="72"/>
      <c r="W11" s="72">
        <v>0</v>
      </c>
      <c r="X11" s="14">
        <v>20</v>
      </c>
      <c r="Y11" s="5">
        <f t="shared" si="2"/>
        <v>0</v>
      </c>
      <c r="Z11" s="5">
        <f t="shared" si="3"/>
        <v>100</v>
      </c>
      <c r="AA11" s="4">
        <f t="shared" si="4"/>
        <v>80</v>
      </c>
      <c r="AB11" s="77">
        <v>16.1</v>
      </c>
      <c r="AC11" s="5">
        <f t="shared" si="5"/>
        <v>12.88</v>
      </c>
    </row>
    <row r="12" spans="1:29" s="2" customFormat="1" ht="12.75">
      <c r="A12" s="1" t="s">
        <v>50</v>
      </c>
      <c r="B12" s="53">
        <v>0</v>
      </c>
      <c r="C12" s="59">
        <v>1</v>
      </c>
      <c r="D12" s="8">
        <v>30</v>
      </c>
      <c r="E12" s="8">
        <f t="shared" si="0"/>
        <v>30</v>
      </c>
      <c r="F12" s="17" t="s">
        <v>108</v>
      </c>
      <c r="G12" s="57">
        <v>1</v>
      </c>
      <c r="H12" s="60">
        <v>30</v>
      </c>
      <c r="I12" s="8">
        <f t="shared" si="1"/>
        <v>30</v>
      </c>
      <c r="J12" s="75" t="s">
        <v>107</v>
      </c>
      <c r="K12" s="73">
        <v>0</v>
      </c>
      <c r="L12" s="73">
        <v>15</v>
      </c>
      <c r="M12" s="73">
        <f>K12*L12</f>
        <v>0</v>
      </c>
      <c r="N12" s="73">
        <v>0</v>
      </c>
      <c r="O12" s="5">
        <v>3</v>
      </c>
      <c r="P12" s="5">
        <f>N12/O12</f>
        <v>0</v>
      </c>
      <c r="Q12" s="5">
        <f>1-(1-P12)</f>
        <v>0</v>
      </c>
      <c r="R12" s="5">
        <v>10</v>
      </c>
      <c r="S12" s="5">
        <f>Q12*R12</f>
        <v>0</v>
      </c>
      <c r="T12" s="5">
        <f>M12+S12</f>
        <v>0</v>
      </c>
      <c r="U12" s="78">
        <v>34</v>
      </c>
      <c r="V12" s="4"/>
      <c r="W12" s="62">
        <v>0</v>
      </c>
      <c r="X12" s="14">
        <v>15</v>
      </c>
      <c r="Y12" s="5">
        <f t="shared" si="2"/>
        <v>0</v>
      </c>
      <c r="Z12" s="5">
        <f t="shared" si="3"/>
        <v>100</v>
      </c>
      <c r="AA12" s="4">
        <f t="shared" si="4"/>
        <v>60</v>
      </c>
      <c r="AB12" s="77">
        <v>15</v>
      </c>
      <c r="AC12" s="5">
        <f t="shared" si="5"/>
        <v>9</v>
      </c>
    </row>
    <row r="13" spans="1:29" s="2" customFormat="1" ht="12.75">
      <c r="A13" s="1" t="s">
        <v>47</v>
      </c>
      <c r="B13" s="53">
        <v>0</v>
      </c>
      <c r="C13" s="59">
        <v>1</v>
      </c>
      <c r="D13" s="8">
        <v>30</v>
      </c>
      <c r="E13" s="8">
        <f t="shared" si="0"/>
        <v>30</v>
      </c>
      <c r="F13" s="17" t="s">
        <v>108</v>
      </c>
      <c r="G13" s="17">
        <v>1</v>
      </c>
      <c r="H13" s="8">
        <v>30</v>
      </c>
      <c r="I13" s="8">
        <f t="shared" si="1"/>
        <v>30</v>
      </c>
      <c r="J13" s="75" t="s">
        <v>107</v>
      </c>
      <c r="K13" s="73">
        <v>0</v>
      </c>
      <c r="L13" s="73">
        <v>15</v>
      </c>
      <c r="M13" s="73">
        <f>K13*L13</f>
        <v>0</v>
      </c>
      <c r="N13" s="73">
        <v>0</v>
      </c>
      <c r="O13" s="5">
        <v>28</v>
      </c>
      <c r="P13" s="5">
        <f>N13/O13</f>
        <v>0</v>
      </c>
      <c r="Q13" s="5">
        <f>1-(1-P13)</f>
        <v>0</v>
      </c>
      <c r="R13" s="5">
        <v>10</v>
      </c>
      <c r="S13" s="5">
        <f>Q13*R13</f>
        <v>0</v>
      </c>
      <c r="T13" s="5">
        <f>M13+S13</f>
        <v>0</v>
      </c>
      <c r="U13" s="78">
        <v>44</v>
      </c>
      <c r="V13" s="4"/>
      <c r="W13" s="62">
        <v>0</v>
      </c>
      <c r="X13" s="14">
        <v>15</v>
      </c>
      <c r="Y13" s="5">
        <f t="shared" si="2"/>
        <v>0</v>
      </c>
      <c r="Z13" s="5">
        <f t="shared" si="3"/>
        <v>100</v>
      </c>
      <c r="AA13" s="4">
        <f t="shared" si="4"/>
        <v>60</v>
      </c>
      <c r="AB13" s="77">
        <v>15</v>
      </c>
      <c r="AC13" s="5">
        <f t="shared" si="5"/>
        <v>9</v>
      </c>
    </row>
    <row r="14" spans="1:29" s="2" customFormat="1" ht="12.75">
      <c r="A14" s="1" t="s">
        <v>48</v>
      </c>
      <c r="B14" s="53">
        <v>0</v>
      </c>
      <c r="C14" s="59">
        <v>1</v>
      </c>
      <c r="D14" s="8">
        <v>30</v>
      </c>
      <c r="E14" s="8">
        <f t="shared" si="0"/>
        <v>30</v>
      </c>
      <c r="F14" s="17" t="s">
        <v>108</v>
      </c>
      <c r="G14" s="17">
        <v>1</v>
      </c>
      <c r="H14" s="8">
        <v>30</v>
      </c>
      <c r="I14" s="8">
        <f t="shared" si="1"/>
        <v>30</v>
      </c>
      <c r="J14" s="75" t="s">
        <v>107</v>
      </c>
      <c r="K14" s="73">
        <v>0</v>
      </c>
      <c r="L14" s="73">
        <v>15</v>
      </c>
      <c r="M14" s="73">
        <f>K14*L14</f>
        <v>0</v>
      </c>
      <c r="N14" s="73">
        <v>0</v>
      </c>
      <c r="O14" s="5">
        <v>1</v>
      </c>
      <c r="P14" s="5">
        <f>N14/O14</f>
        <v>0</v>
      </c>
      <c r="Q14" s="5">
        <f>1-(1-P14)</f>
        <v>0</v>
      </c>
      <c r="R14" s="5">
        <v>10</v>
      </c>
      <c r="S14" s="5">
        <f>Q14*R14</f>
        <v>0</v>
      </c>
      <c r="T14" s="5">
        <f>M14+S14</f>
        <v>0</v>
      </c>
      <c r="U14" s="78">
        <v>4</v>
      </c>
      <c r="V14" s="62"/>
      <c r="W14" s="62">
        <v>0</v>
      </c>
      <c r="X14" s="14">
        <v>15</v>
      </c>
      <c r="Y14" s="5">
        <f t="shared" si="2"/>
        <v>0</v>
      </c>
      <c r="Z14" s="5">
        <f t="shared" si="3"/>
        <v>100</v>
      </c>
      <c r="AA14" s="4">
        <f t="shared" si="4"/>
        <v>60</v>
      </c>
      <c r="AB14" s="77">
        <v>15</v>
      </c>
      <c r="AC14" s="5">
        <f t="shared" si="5"/>
        <v>9</v>
      </c>
    </row>
    <row r="15" s="2" customFormat="1" ht="12.75"/>
    <row r="16" s="2" customFormat="1" ht="12.75"/>
    <row r="17" s="2" customFormat="1" ht="12.75"/>
    <row r="18" s="2" customFormat="1" ht="12.75"/>
    <row r="19" s="2" customFormat="1" ht="12.75"/>
    <row r="20" s="2" customFormat="1" ht="12.75"/>
    <row r="21" s="2" customFormat="1" ht="12.75"/>
    <row r="22" s="2" customFormat="1" ht="12.75"/>
    <row r="23" s="2" customFormat="1" ht="12.75"/>
    <row r="24" s="2" customFormat="1" ht="12.75"/>
    <row r="25" s="2" customFormat="1" ht="12.75"/>
  </sheetData>
  <sheetProtection/>
  <mergeCells count="28">
    <mergeCell ref="D6:D7"/>
    <mergeCell ref="T5:T7"/>
    <mergeCell ref="N6:R6"/>
    <mergeCell ref="G6:G7"/>
    <mergeCell ref="H6:H7"/>
    <mergeCell ref="M6:M7"/>
    <mergeCell ref="S6:S7"/>
    <mergeCell ref="E5:E7"/>
    <mergeCell ref="F6:F7"/>
    <mergeCell ref="J6:L6"/>
    <mergeCell ref="C6:C7"/>
    <mergeCell ref="A4:A7"/>
    <mergeCell ref="B6:B7"/>
    <mergeCell ref="B4:AC4"/>
    <mergeCell ref="F5:H5"/>
    <mergeCell ref="B5:D5"/>
    <mergeCell ref="AB5:AB7"/>
    <mergeCell ref="AC5:AC7"/>
    <mergeCell ref="I5:I7"/>
    <mergeCell ref="J5:S5"/>
    <mergeCell ref="Z5:Z7"/>
    <mergeCell ref="AA5:AA7"/>
    <mergeCell ref="W6:W7"/>
    <mergeCell ref="X6:X7"/>
    <mergeCell ref="U5:X5"/>
    <mergeCell ref="Y5:Y7"/>
    <mergeCell ref="U6:U7"/>
    <mergeCell ref="V6:V7"/>
  </mergeCells>
  <printOptions/>
  <pageMargins left="0.1968503937007874" right="0.1968503937007874" top="0.1968503937007874" bottom="0.1968503937007874" header="0.5118110236220472" footer="0.5118110236220472"/>
  <pageSetup fitToWidth="0" fitToHeight="1" horizontalDpi="600" verticalDpi="600" orientation="landscape" paperSize="9" scale="81" r:id="rId3"/>
  <legacyDrawing r:id="rId2"/>
  <oleObjects>
    <oleObject progId="Equation.3" shapeId="39685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24"/>
  <sheetViews>
    <sheetView zoomScalePageLayoutView="0" workbookViewId="0" topLeftCell="A4">
      <selection activeCell="F9" sqref="F9"/>
    </sheetView>
  </sheetViews>
  <sheetFormatPr defaultColWidth="9.00390625" defaultRowHeight="12.75"/>
  <cols>
    <col min="1" max="1" width="24.875" style="0" bestFit="1" customWidth="1"/>
    <col min="2" max="5" width="17.25390625" style="0" customWidth="1"/>
  </cols>
  <sheetData>
    <row r="4" spans="1:5" ht="12.75" customHeight="1">
      <c r="A4" s="158" t="s">
        <v>44</v>
      </c>
      <c r="B4" s="21"/>
      <c r="C4" s="21"/>
      <c r="D4" s="21"/>
      <c r="E4" s="21"/>
    </row>
    <row r="5" spans="1:5" ht="12.75" customHeight="1">
      <c r="A5" s="159"/>
      <c r="B5" s="160" t="s">
        <v>58</v>
      </c>
      <c r="C5" s="162" t="s">
        <v>40</v>
      </c>
      <c r="D5" s="164" t="s">
        <v>21</v>
      </c>
      <c r="E5" s="156" t="s">
        <v>41</v>
      </c>
    </row>
    <row r="6" spans="1:5" ht="249" customHeight="1">
      <c r="A6" s="159"/>
      <c r="B6" s="161"/>
      <c r="C6" s="163"/>
      <c r="D6" s="165"/>
      <c r="E6" s="157"/>
    </row>
    <row r="7" spans="1:5" ht="15.75">
      <c r="A7" s="3">
        <v>1</v>
      </c>
      <c r="B7" s="11">
        <v>2</v>
      </c>
      <c r="C7" s="3">
        <v>3</v>
      </c>
      <c r="D7" s="11">
        <v>4</v>
      </c>
      <c r="E7" s="3">
        <v>5</v>
      </c>
    </row>
    <row r="8" spans="1:5" ht="15.75">
      <c r="A8" s="1" t="s">
        <v>46</v>
      </c>
      <c r="B8" s="12">
        <f>SUM('группа 1'!Z9+'группа 2'!AN8+'группа 3'!Q8+'группа 4'!J8+'Группа 5'!AH8+'Группа 6'!Z8+'Группа 7'!V8+'Группа 8'!H8+'Группа 9'!L5)</f>
        <v>900</v>
      </c>
      <c r="C8" s="12">
        <f>SUM('группа 1'!AA9+'группа 2'!AO8+'группа 3'!R8+'группа 4'!K8+'Группа 5'!AI8+'Группа 6'!AA8+'Группа 7'!W8+'Группа 8'!I8+'Группа 9'!M5)</f>
        <v>750.35</v>
      </c>
      <c r="D8" s="12">
        <f>SUM('группа 1'!AB9+'группа 2'!AP8+'группа 3'!S8+'группа 4'!L8+'Группа 5'!AJ8+'Группа 6'!AB8+'Группа 7'!X8+'Группа 8'!J8+'Группа 9'!N5)</f>
        <v>100</v>
      </c>
      <c r="E8" s="12">
        <f>SUM('группа 1'!AC9+'группа 2'!AQ8+'группа 3'!T8+'группа 4'!M8+'Группа 5'!AK8+'Группа 6'!AC8+'Группа 7'!Y8+'Группа 8'!K8+'Группа 9'!O5)</f>
        <v>83.45599999999999</v>
      </c>
    </row>
    <row r="9" spans="1:5" ht="15.75">
      <c r="A9" s="1" t="s">
        <v>136</v>
      </c>
      <c r="B9" s="12">
        <f>SUM('группа 1'!Z10+'группа 2'!AN9+'группа 3'!Q9+'группа 4'!J9+'Группа 5'!AH9+'Группа 6'!Z9+'Группа 7'!V9+'Группа 8'!H9+'Группа 9'!L6)</f>
        <v>800</v>
      </c>
      <c r="C9" s="12">
        <f>SUM('группа 1'!AA10+'группа 2'!AO9+'группа 3'!R9+'группа 4'!K9+'Группа 5'!AI9+'Группа 6'!AA9+'Группа 7'!W9+'Группа 8'!I9+'Группа 9'!M6)</f>
        <v>766.47</v>
      </c>
      <c r="D9" s="12">
        <f>SUM('группа 1'!AB10+'группа 2'!AP9+'группа 3'!S9+'группа 4'!L9+'Группа 5'!AJ9+'Группа 6'!AB9+'Группа 7'!X9+'Группа 8'!J9+'Группа 9'!N6)</f>
        <v>100</v>
      </c>
      <c r="E9" s="12">
        <f>SUM('группа 1'!AC10+'группа 2'!AQ9+'группа 3'!T9+'группа 4'!M9+'Группа 5'!AK9+'Группа 6'!AC9+'Группа 7'!Y9+'Группа 8'!K9+'Группа 9'!O6)</f>
        <v>96.99105</v>
      </c>
    </row>
    <row r="10" spans="1:5" ht="15.75">
      <c r="A10" s="1" t="s">
        <v>49</v>
      </c>
      <c r="B10" s="12">
        <f>SUM('группа 1'!Z11+'группа 2'!AN10+'группа 3'!Q10+'группа 4'!J10+'Группа 5'!AH10+'Группа 6'!Z10+'Группа 7'!V10+'Группа 8'!H10+'Группа 9'!L7)</f>
        <v>800</v>
      </c>
      <c r="C10" s="12">
        <f>SUM('группа 1'!AA11+'группа 2'!AO10+'группа 3'!R10+'группа 4'!K10+'Группа 5'!AI10+'Группа 6'!AA10+'Группа 7'!W10+'Группа 8'!I10+'Группа 9'!M7)</f>
        <v>729.98</v>
      </c>
      <c r="D10" s="12">
        <f>SUM('группа 1'!AB11+'группа 2'!AP10+'группа 3'!S10+'группа 4'!L10+'Группа 5'!AJ10+'Группа 6'!AB10+'Группа 7'!X10+'Группа 8'!J10+'Группа 9'!N7)</f>
        <v>100</v>
      </c>
      <c r="E10" s="12">
        <f>SUM('группа 1'!AC11+'группа 2'!AQ10+'группа 3'!T10+'группа 4'!M10+'Группа 5'!AK10+'Группа 6'!AC10+'Группа 7'!Y10+'Группа 8'!K10+'Группа 9'!O7)</f>
        <v>90.8494</v>
      </c>
    </row>
    <row r="11" spans="1:5" ht="15.75">
      <c r="A11" s="1" t="s">
        <v>50</v>
      </c>
      <c r="B11" s="12">
        <f>SUM('группа 1'!Z12+'группа 2'!AN11+'группа 3'!Q11+'группа 4'!J11+'Группа 5'!AH11+'Группа 6'!Z11+'Группа 7'!V11+'Группа 8'!H11+'Группа 9'!L8)</f>
        <v>900</v>
      </c>
      <c r="C11" s="12">
        <f>SUM('группа 1'!AA12+'группа 2'!AO11+'группа 3'!R11+'группа 4'!K11+'Группа 5'!AI11+'Группа 6'!AA11+'Группа 7'!W11+'Группа 8'!I11+'Группа 9'!M8)</f>
        <v>793.0699999999999</v>
      </c>
      <c r="D11" s="12">
        <f>SUM('группа 1'!AB12+'группа 2'!AP11+'группа 3'!S11+'группа 4'!L11+'Группа 5'!AJ11+'Группа 6'!AB11+'Группа 7'!X11+'Группа 8'!J11+'Группа 9'!N8)</f>
        <v>100</v>
      </c>
      <c r="E11" s="12">
        <f>SUM('группа 1'!AC12+'группа 2'!AQ11+'группа 3'!T11+'группа 4'!M11+'Группа 5'!AK11+'Группа 6'!AC11+'Группа 7'!Y11+'Группа 8'!K11+'Группа 9'!O8)</f>
        <v>85.31799999999998</v>
      </c>
    </row>
    <row r="12" spans="1:5" ht="15.75">
      <c r="A12" s="1" t="s">
        <v>47</v>
      </c>
      <c r="B12" s="12">
        <f>SUM('группа 1'!Z13+'группа 2'!AN12+'группа 3'!Q12+'группа 4'!J12+'Группа 5'!AH12+'Группа 6'!Z12+'Группа 7'!V12+'Группа 8'!H12+'Группа 9'!L9)</f>
        <v>900</v>
      </c>
      <c r="C12" s="12">
        <f>SUM('группа 1'!AA13+'группа 2'!AO12+'группа 3'!R12+'группа 4'!K12+'Группа 5'!AI12+'Группа 6'!AA12+'Группа 7'!W12+'Группа 8'!I12+'Группа 9'!M9)</f>
        <v>821.5</v>
      </c>
      <c r="D12" s="12">
        <f>SUM('группа 1'!AB13+'группа 2'!AP12+'группа 3'!S12+'группа 4'!L12+'Группа 5'!AJ12+'Группа 6'!AB12+'Группа 7'!X12+'Группа 8'!J12+'Группа 9'!N9)</f>
        <v>100</v>
      </c>
      <c r="E12" s="12">
        <f>SUM('группа 1'!AC13+'группа 2'!AQ12+'группа 3'!T12+'группа 4'!M12+'Группа 5'!AK12+'Группа 6'!AC12+'Группа 7'!Y12+'Группа 8'!K12+'Группа 9'!O9)</f>
        <v>89.977</v>
      </c>
    </row>
    <row r="13" spans="1:5" ht="15.75">
      <c r="A13" s="1" t="s">
        <v>48</v>
      </c>
      <c r="B13" s="12">
        <f>SUM('группа 1'!Z14+'группа 2'!AN13+'группа 3'!Q13+'группа 4'!J13+'Группа 5'!AH13+'Группа 6'!Z13+'Группа 7'!V13+'Группа 8'!H13+'Группа 9'!L10)</f>
        <v>900</v>
      </c>
      <c r="C13" s="12">
        <f>SUM('группа 1'!AA14+'группа 2'!AO13+'группа 3'!R13+'группа 4'!K13+'Группа 5'!AI13+'Группа 6'!AA13+'Группа 7'!W13+'Группа 8'!I13+'Группа 9'!M10)</f>
        <v>826.55</v>
      </c>
      <c r="D13" s="12">
        <f>SUM('группа 1'!AB14+'группа 2'!AP13+'группа 3'!S13+'группа 4'!L13+'Группа 5'!AJ13+'Группа 6'!AB13+'Группа 7'!X13+'Группа 8'!J13+'Группа 9'!N10)</f>
        <v>100</v>
      </c>
      <c r="E13" s="12">
        <f>SUM('группа 1'!AC14+'группа 2'!AQ13+'группа 3'!T13+'группа 4'!M13+'Группа 5'!AK13+'Группа 6'!AC13+'Группа 7'!Y13+'Группа 8'!K13+'Группа 9'!O10)</f>
        <v>91.21000000000001</v>
      </c>
    </row>
    <row r="14" spans="1:5" ht="12.75">
      <c r="A14" s="2"/>
      <c r="B14" s="13"/>
      <c r="C14" s="13"/>
      <c r="D14" s="13"/>
      <c r="E14" s="13"/>
    </row>
    <row r="15" spans="1:5" ht="12.75">
      <c r="A15" s="2"/>
      <c r="B15" s="13"/>
      <c r="C15" s="13"/>
      <c r="D15" s="13"/>
      <c r="E15" s="13"/>
    </row>
    <row r="16" spans="1:5" ht="12.75">
      <c r="A16" s="2"/>
      <c r="B16" s="2"/>
      <c r="C16" s="2"/>
      <c r="D16" s="2"/>
      <c r="E16" s="2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  <row r="19" spans="1:5" ht="12.75">
      <c r="A19" s="2"/>
      <c r="B19" s="2"/>
      <c r="C19" s="2"/>
      <c r="D19" s="2"/>
      <c r="E19" s="2"/>
    </row>
    <row r="20" spans="1:5" ht="12.75">
      <c r="A20" s="2"/>
      <c r="B20" s="2"/>
      <c r="C20" s="2"/>
      <c r="D20" s="2"/>
      <c r="E20" s="2"/>
    </row>
    <row r="21" spans="1:5" ht="12.75">
      <c r="A21" s="2"/>
      <c r="B21" s="2"/>
      <c r="C21" s="2"/>
      <c r="D21" s="2"/>
      <c r="E21" s="2"/>
    </row>
    <row r="22" spans="1:5" ht="12.75">
      <c r="A22" s="2"/>
      <c r="B22" s="2"/>
      <c r="C22" s="2"/>
      <c r="D22" s="2"/>
      <c r="E22" s="2"/>
    </row>
    <row r="23" spans="1:5" ht="12.75">
      <c r="A23" s="2"/>
      <c r="B23" s="2"/>
      <c r="C23" s="2"/>
      <c r="D23" s="2"/>
      <c r="E23" s="2"/>
    </row>
    <row r="24" spans="1:5" ht="12.75">
      <c r="A24" s="2"/>
      <c r="B24" s="2"/>
      <c r="C24" s="2"/>
      <c r="D24" s="2"/>
      <c r="E24" s="2"/>
    </row>
  </sheetData>
  <sheetProtection/>
  <mergeCells count="5">
    <mergeCell ref="E5:E6"/>
    <mergeCell ref="A4:A6"/>
    <mergeCell ref="B5:B6"/>
    <mergeCell ref="C5:C6"/>
    <mergeCell ref="D5:D6"/>
  </mergeCells>
  <printOptions/>
  <pageMargins left="0.1968503937007874" right="0.1968503937007874" top="0.1968503937007874" bottom="0.1968503937007874" header="0.5118110236220472" footer="0.5118110236220472"/>
  <pageSetup fitToWidth="0" fitToHeight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Q24"/>
  <sheetViews>
    <sheetView view="pageBreakPreview" zoomScaleNormal="73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8" sqref="C8:C13"/>
    </sheetView>
  </sheetViews>
  <sheetFormatPr defaultColWidth="9.00390625" defaultRowHeight="12.75"/>
  <cols>
    <col min="1" max="1" width="24.875" style="0" bestFit="1" customWidth="1"/>
    <col min="2" max="2" width="11.25390625" style="0" customWidth="1"/>
    <col min="3" max="3" width="10.875" style="0" customWidth="1"/>
    <col min="4" max="4" width="10.625" style="0" customWidth="1"/>
    <col min="5" max="5" width="17.00390625" style="0" customWidth="1"/>
    <col min="6" max="6" width="8.00390625" style="0" customWidth="1"/>
    <col min="7" max="7" width="7.875" style="0" customWidth="1"/>
    <col min="8" max="8" width="10.75390625" style="0" customWidth="1"/>
    <col min="9" max="9" width="11.125" style="0" customWidth="1"/>
    <col min="10" max="10" width="13.625" style="0" customWidth="1"/>
    <col min="11" max="11" width="18.375" style="0" customWidth="1"/>
    <col min="12" max="12" width="8.25390625" style="0" customWidth="1"/>
    <col min="13" max="13" width="7.75390625" style="0" customWidth="1"/>
    <col min="14" max="14" width="11.25390625" style="0" customWidth="1"/>
    <col min="15" max="15" width="9.875" style="0" customWidth="1"/>
    <col min="16" max="16" width="23.00390625" style="0" customWidth="1"/>
    <col min="17" max="20" width="7.75390625" style="0" customWidth="1"/>
    <col min="21" max="21" width="12.25390625" style="0" customWidth="1"/>
    <col min="22" max="23" width="7.75390625" style="0" customWidth="1"/>
    <col min="24" max="24" width="12.875" style="0" customWidth="1"/>
    <col min="25" max="25" width="11.25390625" style="0" customWidth="1"/>
    <col min="26" max="26" width="9.625" style="0" customWidth="1"/>
    <col min="27" max="27" width="17.875" style="0" customWidth="1"/>
    <col min="28" max="28" width="8.125" style="0" customWidth="1"/>
    <col min="29" max="29" width="8.00390625" style="0" customWidth="1"/>
    <col min="30" max="30" width="19.125" style="0" customWidth="1"/>
    <col min="31" max="31" width="21.625" style="0" customWidth="1"/>
    <col min="32" max="32" width="7.75390625" style="0" customWidth="1"/>
    <col min="33" max="33" width="8.125" style="0" customWidth="1"/>
    <col min="34" max="34" width="15.875" style="0" customWidth="1"/>
    <col min="35" max="35" width="12.375" style="0" customWidth="1"/>
    <col min="36" max="36" width="11.875" style="0" customWidth="1"/>
    <col min="37" max="37" width="9.00390625" style="0" customWidth="1"/>
    <col min="38" max="38" width="7.875" style="0" customWidth="1"/>
    <col min="39" max="39" width="7.625" style="0" customWidth="1"/>
    <col min="40" max="40" width="8.125" style="0" customWidth="1"/>
    <col min="41" max="41" width="10.875" style="0" customWidth="1"/>
    <col min="42" max="42" width="8.25390625" style="0" customWidth="1"/>
    <col min="43" max="43" width="9.00390625" style="0" customWidth="1"/>
  </cols>
  <sheetData>
    <row r="4" spans="1:43" ht="12.75">
      <c r="A4" s="118" t="s">
        <v>44</v>
      </c>
      <c r="B4" s="121" t="s">
        <v>53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3"/>
    </row>
    <row r="5" spans="1:43" ht="53.25" customHeight="1">
      <c r="A5" s="118"/>
      <c r="B5" s="124" t="s">
        <v>63</v>
      </c>
      <c r="C5" s="124"/>
      <c r="D5" s="124"/>
      <c r="E5" s="124"/>
      <c r="F5" s="125"/>
      <c r="G5" s="129" t="s">
        <v>56</v>
      </c>
      <c r="H5" s="119" t="s">
        <v>64</v>
      </c>
      <c r="I5" s="119"/>
      <c r="J5" s="119"/>
      <c r="K5" s="119"/>
      <c r="L5" s="119"/>
      <c r="M5" s="120" t="s">
        <v>56</v>
      </c>
      <c r="N5" s="120" t="s">
        <v>134</v>
      </c>
      <c r="O5" s="120"/>
      <c r="P5" s="120"/>
      <c r="Q5" s="120"/>
      <c r="R5" s="120" t="s">
        <v>56</v>
      </c>
      <c r="S5" s="120" t="s">
        <v>164</v>
      </c>
      <c r="T5" s="120"/>
      <c r="U5" s="120"/>
      <c r="V5" s="120"/>
      <c r="W5" s="129" t="s">
        <v>56</v>
      </c>
      <c r="X5" s="136" t="s">
        <v>7</v>
      </c>
      <c r="Y5" s="137"/>
      <c r="Z5" s="137"/>
      <c r="AA5" s="137"/>
      <c r="AB5" s="138"/>
      <c r="AC5" s="129" t="s">
        <v>56</v>
      </c>
      <c r="AD5" s="128" t="s">
        <v>8</v>
      </c>
      <c r="AE5" s="128"/>
      <c r="AF5" s="128"/>
      <c r="AG5" s="129" t="s">
        <v>56</v>
      </c>
      <c r="AH5" s="121" t="s">
        <v>165</v>
      </c>
      <c r="AI5" s="122"/>
      <c r="AJ5" s="122"/>
      <c r="AK5" s="122"/>
      <c r="AL5" s="123"/>
      <c r="AM5" s="129" t="s">
        <v>56</v>
      </c>
      <c r="AN5" s="134" t="s">
        <v>26</v>
      </c>
      <c r="AO5" s="132" t="s">
        <v>57</v>
      </c>
      <c r="AP5" s="126" t="s">
        <v>52</v>
      </c>
      <c r="AQ5" s="130" t="s">
        <v>51</v>
      </c>
    </row>
    <row r="6" spans="1:43" ht="179.25" customHeight="1">
      <c r="A6" s="118"/>
      <c r="B6" s="29" t="s">
        <v>74</v>
      </c>
      <c r="C6" s="29" t="s">
        <v>75</v>
      </c>
      <c r="D6" s="29" t="s">
        <v>80</v>
      </c>
      <c r="E6" s="34" t="s">
        <v>0</v>
      </c>
      <c r="F6" s="30" t="s">
        <v>45</v>
      </c>
      <c r="G6" s="119"/>
      <c r="H6" s="31" t="s">
        <v>76</v>
      </c>
      <c r="I6" s="31" t="s">
        <v>77</v>
      </c>
      <c r="J6" s="31" t="s">
        <v>81</v>
      </c>
      <c r="K6" s="32" t="s">
        <v>1</v>
      </c>
      <c r="L6" s="33" t="s">
        <v>45</v>
      </c>
      <c r="M6" s="120"/>
      <c r="N6" s="29" t="s">
        <v>2</v>
      </c>
      <c r="O6" s="29" t="s">
        <v>3</v>
      </c>
      <c r="P6" s="29" t="s">
        <v>162</v>
      </c>
      <c r="Q6" s="30" t="s">
        <v>45</v>
      </c>
      <c r="R6" s="120"/>
      <c r="S6" s="29" t="s">
        <v>4</v>
      </c>
      <c r="T6" s="29" t="s">
        <v>5</v>
      </c>
      <c r="U6" s="29" t="s">
        <v>6</v>
      </c>
      <c r="V6" s="30" t="s">
        <v>45</v>
      </c>
      <c r="W6" s="119"/>
      <c r="X6" s="29" t="s">
        <v>78</v>
      </c>
      <c r="Y6" s="29" t="s">
        <v>25</v>
      </c>
      <c r="Z6" s="29" t="s">
        <v>79</v>
      </c>
      <c r="AA6" s="28" t="s">
        <v>65</v>
      </c>
      <c r="AB6" s="30" t="s">
        <v>45</v>
      </c>
      <c r="AC6" s="119"/>
      <c r="AD6" s="29" t="s">
        <v>86</v>
      </c>
      <c r="AE6" s="34" t="s">
        <v>90</v>
      </c>
      <c r="AF6" s="30" t="s">
        <v>45</v>
      </c>
      <c r="AG6" s="119"/>
      <c r="AH6" s="39" t="s">
        <v>174</v>
      </c>
      <c r="AI6" s="39" t="s">
        <v>175</v>
      </c>
      <c r="AJ6" s="35" t="s">
        <v>9</v>
      </c>
      <c r="AK6" s="26" t="s">
        <v>15</v>
      </c>
      <c r="AL6" s="33" t="s">
        <v>45</v>
      </c>
      <c r="AM6" s="119"/>
      <c r="AN6" s="135"/>
      <c r="AO6" s="133"/>
      <c r="AP6" s="127"/>
      <c r="AQ6" s="131"/>
    </row>
    <row r="7" spans="1:43" ht="12.75">
      <c r="A7" s="27">
        <v>1</v>
      </c>
      <c r="B7" s="38">
        <v>2</v>
      </c>
      <c r="C7" s="27">
        <v>3</v>
      </c>
      <c r="D7" s="38">
        <v>4</v>
      </c>
      <c r="E7" s="27">
        <v>5</v>
      </c>
      <c r="F7" s="38">
        <v>6</v>
      </c>
      <c r="G7" s="27">
        <v>7</v>
      </c>
      <c r="H7" s="38">
        <v>8</v>
      </c>
      <c r="I7" s="27">
        <v>9</v>
      </c>
      <c r="J7" s="38">
        <v>10</v>
      </c>
      <c r="K7" s="27">
        <v>11</v>
      </c>
      <c r="L7" s="38">
        <v>12</v>
      </c>
      <c r="M7" s="61">
        <v>13</v>
      </c>
      <c r="N7" s="27">
        <v>14</v>
      </c>
      <c r="O7" s="38">
        <v>15</v>
      </c>
      <c r="P7" s="27">
        <v>16</v>
      </c>
      <c r="Q7" s="38">
        <v>17</v>
      </c>
      <c r="R7" s="27">
        <v>18</v>
      </c>
      <c r="S7" s="38">
        <v>19</v>
      </c>
      <c r="T7" s="27">
        <v>20</v>
      </c>
      <c r="U7" s="38">
        <v>21</v>
      </c>
      <c r="V7" s="27">
        <v>22</v>
      </c>
      <c r="W7" s="38">
        <v>23</v>
      </c>
      <c r="X7" s="27">
        <v>24</v>
      </c>
      <c r="Y7" s="38">
        <v>25</v>
      </c>
      <c r="Z7" s="61">
        <v>26</v>
      </c>
      <c r="AA7" s="27">
        <v>27</v>
      </c>
      <c r="AB7" s="38">
        <v>28</v>
      </c>
      <c r="AC7" s="27">
        <v>29</v>
      </c>
      <c r="AD7" s="38">
        <v>30</v>
      </c>
      <c r="AE7" s="27">
        <v>31</v>
      </c>
      <c r="AF7" s="38">
        <v>32</v>
      </c>
      <c r="AG7" s="27">
        <v>33</v>
      </c>
      <c r="AH7" s="38">
        <v>34</v>
      </c>
      <c r="AI7" s="27">
        <v>35</v>
      </c>
      <c r="AJ7" s="38">
        <v>36</v>
      </c>
      <c r="AK7" s="27">
        <v>37</v>
      </c>
      <c r="AL7" s="38">
        <v>38</v>
      </c>
      <c r="AM7" s="61">
        <v>39</v>
      </c>
      <c r="AN7" s="27">
        <v>40</v>
      </c>
      <c r="AO7" s="38">
        <v>41</v>
      </c>
      <c r="AP7" s="27">
        <v>42</v>
      </c>
      <c r="AQ7" s="38">
        <v>43</v>
      </c>
    </row>
    <row r="8" spans="1:43" ht="12.75">
      <c r="A8" s="16" t="s">
        <v>46</v>
      </c>
      <c r="B8" s="84">
        <v>502756.6</v>
      </c>
      <c r="C8" s="83">
        <v>377797.8</v>
      </c>
      <c r="D8" s="68">
        <f aca="true" t="shared" si="0" ref="D8:D13">100*((B8-C8)/B8)</f>
        <v>24.854730897615266</v>
      </c>
      <c r="E8" s="68">
        <v>0</v>
      </c>
      <c r="F8" s="69">
        <v>15</v>
      </c>
      <c r="G8" s="69">
        <f aca="true" t="shared" si="1" ref="G8:G13">E8*F8</f>
        <v>0</v>
      </c>
      <c r="H8" s="85">
        <v>130450.6</v>
      </c>
      <c r="I8" s="85">
        <v>86967.1</v>
      </c>
      <c r="J8" s="68">
        <f aca="true" t="shared" si="2" ref="J8:J13">(H8-I8)*100/I8</f>
        <v>49.99994250699402</v>
      </c>
      <c r="K8" s="68">
        <v>1</v>
      </c>
      <c r="L8" s="69">
        <v>15</v>
      </c>
      <c r="M8" s="69">
        <v>15</v>
      </c>
      <c r="N8" s="69">
        <v>2</v>
      </c>
      <c r="O8" s="69">
        <v>2</v>
      </c>
      <c r="P8" s="69">
        <v>1</v>
      </c>
      <c r="Q8" s="69">
        <v>15</v>
      </c>
      <c r="R8" s="69">
        <f>P8*Q8</f>
        <v>15</v>
      </c>
      <c r="S8" s="69">
        <v>0</v>
      </c>
      <c r="T8" s="69">
        <f>S8</f>
        <v>0</v>
      </c>
      <c r="U8" s="69">
        <v>1</v>
      </c>
      <c r="V8" s="69">
        <v>15</v>
      </c>
      <c r="W8" s="69">
        <f aca="true" t="shared" si="3" ref="W8:W13">U8*V8</f>
        <v>15</v>
      </c>
      <c r="X8" s="82">
        <v>39.5</v>
      </c>
      <c r="Y8" s="83">
        <v>377797.8</v>
      </c>
      <c r="Z8" s="68">
        <f aca="true" t="shared" si="4" ref="Z8:Z13">100*X8/Y8</f>
        <v>0.010455328220545488</v>
      </c>
      <c r="AA8" s="68">
        <v>1</v>
      </c>
      <c r="AB8" s="69">
        <v>15</v>
      </c>
      <c r="AC8" s="69">
        <f aca="true" t="shared" si="5" ref="AC8:AC13">AA8*AB8</f>
        <v>15</v>
      </c>
      <c r="AD8" s="56" t="s">
        <v>87</v>
      </c>
      <c r="AE8" s="68">
        <v>1</v>
      </c>
      <c r="AF8" s="69">
        <v>10</v>
      </c>
      <c r="AG8" s="69">
        <f aca="true" t="shared" si="6" ref="AG8:AG13">AE8*AF8</f>
        <v>10</v>
      </c>
      <c r="AH8" s="73">
        <v>185051.1</v>
      </c>
      <c r="AI8" s="73">
        <v>208972.6</v>
      </c>
      <c r="AJ8" s="68">
        <f aca="true" t="shared" si="7" ref="AJ8:AJ13">AH8/AI8*100</f>
        <v>88.55280548741796</v>
      </c>
      <c r="AK8" s="68">
        <f aca="true" t="shared" si="8" ref="AK8:AK13">AJ8/100</f>
        <v>0.8855280548741795</v>
      </c>
      <c r="AL8" s="69">
        <v>15</v>
      </c>
      <c r="AM8" s="69">
        <v>13.35</v>
      </c>
      <c r="AN8" s="69">
        <f aca="true" t="shared" si="9" ref="AN8:AN13">F8+L8+Q8++V8+AB8+AF8+AL8</f>
        <v>100</v>
      </c>
      <c r="AO8" s="68">
        <f aca="true" t="shared" si="10" ref="AO8:AO13">G8+M8+R8+W8+AC8+AG8+AM8</f>
        <v>83.35</v>
      </c>
      <c r="AP8" s="77">
        <v>20</v>
      </c>
      <c r="AQ8" s="69">
        <f aca="true" t="shared" si="11" ref="AQ8:AQ13">(AO8*AP8)/100</f>
        <v>16.67</v>
      </c>
    </row>
    <row r="9" spans="1:43" ht="12.75">
      <c r="A9" s="1" t="s">
        <v>136</v>
      </c>
      <c r="B9" s="84">
        <v>1071.8</v>
      </c>
      <c r="C9" s="83">
        <v>1067.5</v>
      </c>
      <c r="D9" s="68">
        <f t="shared" si="0"/>
        <v>0.401194252659074</v>
      </c>
      <c r="E9" s="68">
        <v>1</v>
      </c>
      <c r="F9" s="69">
        <v>17.7</v>
      </c>
      <c r="G9" s="69">
        <f t="shared" si="1"/>
        <v>17.7</v>
      </c>
      <c r="H9" s="85">
        <v>364.8</v>
      </c>
      <c r="I9" s="85">
        <v>234.2</v>
      </c>
      <c r="J9" s="68">
        <f t="shared" si="2"/>
        <v>55.76430401366355</v>
      </c>
      <c r="K9" s="68">
        <f>1-(J9-50)/50</f>
        <v>0.8847139197267291</v>
      </c>
      <c r="L9" s="69">
        <v>17.7</v>
      </c>
      <c r="M9" s="69">
        <v>15.58</v>
      </c>
      <c r="N9" s="69"/>
      <c r="O9" s="69"/>
      <c r="P9" s="69"/>
      <c r="Q9" s="69"/>
      <c r="R9" s="69"/>
      <c r="S9" s="69">
        <v>0</v>
      </c>
      <c r="T9" s="69">
        <v>0</v>
      </c>
      <c r="U9" s="69">
        <v>1</v>
      </c>
      <c r="V9" s="69">
        <v>17.6</v>
      </c>
      <c r="W9" s="69">
        <f t="shared" si="3"/>
        <v>17.6</v>
      </c>
      <c r="X9" s="82">
        <v>2.2</v>
      </c>
      <c r="Y9" s="83">
        <v>1067.5</v>
      </c>
      <c r="Z9" s="68">
        <f t="shared" si="4"/>
        <v>0.2060889929742389</v>
      </c>
      <c r="AA9" s="68">
        <v>1</v>
      </c>
      <c r="AB9" s="69">
        <v>17.6</v>
      </c>
      <c r="AC9" s="69">
        <f t="shared" si="5"/>
        <v>17.6</v>
      </c>
      <c r="AD9" s="56" t="s">
        <v>87</v>
      </c>
      <c r="AE9" s="68">
        <v>1</v>
      </c>
      <c r="AF9" s="69">
        <v>11.8</v>
      </c>
      <c r="AG9" s="69">
        <f t="shared" si="6"/>
        <v>11.8</v>
      </c>
      <c r="AH9" s="73">
        <v>141.3</v>
      </c>
      <c r="AI9" s="73">
        <v>154</v>
      </c>
      <c r="AJ9" s="68">
        <f t="shared" si="7"/>
        <v>91.75324675324677</v>
      </c>
      <c r="AK9" s="68">
        <f t="shared" si="8"/>
        <v>0.9175324675324678</v>
      </c>
      <c r="AL9" s="69">
        <v>17.6</v>
      </c>
      <c r="AM9" s="69">
        <v>16.19</v>
      </c>
      <c r="AN9" s="69">
        <f t="shared" si="9"/>
        <v>100</v>
      </c>
      <c r="AO9" s="68">
        <f t="shared" si="10"/>
        <v>96.47</v>
      </c>
      <c r="AP9" s="77">
        <v>21.5</v>
      </c>
      <c r="AQ9" s="69">
        <f t="shared" si="11"/>
        <v>20.74105</v>
      </c>
    </row>
    <row r="10" spans="1:43" ht="12.75">
      <c r="A10" s="1" t="s">
        <v>49</v>
      </c>
      <c r="B10" s="84">
        <v>7225.1</v>
      </c>
      <c r="C10" s="83">
        <v>7216.9</v>
      </c>
      <c r="D10" s="68">
        <f t="shared" si="0"/>
        <v>0.11349323884791529</v>
      </c>
      <c r="E10" s="68">
        <v>1</v>
      </c>
      <c r="F10" s="69">
        <v>17.7</v>
      </c>
      <c r="G10" s="69">
        <f t="shared" si="1"/>
        <v>17.7</v>
      </c>
      <c r="H10" s="85">
        <v>2496.5</v>
      </c>
      <c r="I10" s="85">
        <v>1573.5</v>
      </c>
      <c r="J10" s="68">
        <f t="shared" si="2"/>
        <v>58.659040355894504</v>
      </c>
      <c r="K10" s="68">
        <f>1-(J10-50)/50</f>
        <v>0.8268191928821099</v>
      </c>
      <c r="L10" s="69">
        <v>17.7</v>
      </c>
      <c r="M10" s="69">
        <v>14.69</v>
      </c>
      <c r="N10" s="69"/>
      <c r="O10" s="69"/>
      <c r="P10" s="69"/>
      <c r="Q10" s="69"/>
      <c r="R10" s="69"/>
      <c r="S10" s="69">
        <v>0</v>
      </c>
      <c r="T10" s="69">
        <f>S10</f>
        <v>0</v>
      </c>
      <c r="U10" s="69">
        <v>1</v>
      </c>
      <c r="V10" s="69">
        <v>17.6</v>
      </c>
      <c r="W10" s="69">
        <f t="shared" si="3"/>
        <v>17.6</v>
      </c>
      <c r="X10" s="82">
        <v>8.9</v>
      </c>
      <c r="Y10" s="83">
        <v>7216.9</v>
      </c>
      <c r="Z10" s="68">
        <f t="shared" si="4"/>
        <v>0.12332164779891644</v>
      </c>
      <c r="AA10" s="68">
        <v>1</v>
      </c>
      <c r="AB10" s="69">
        <v>17.6</v>
      </c>
      <c r="AC10" s="69">
        <f t="shared" si="5"/>
        <v>17.6</v>
      </c>
      <c r="AD10" s="56" t="s">
        <v>87</v>
      </c>
      <c r="AE10" s="68">
        <v>1</v>
      </c>
      <c r="AF10" s="69">
        <v>11.8</v>
      </c>
      <c r="AG10" s="69">
        <f t="shared" si="6"/>
        <v>11.8</v>
      </c>
      <c r="AH10" s="73">
        <v>796.3</v>
      </c>
      <c r="AI10" s="73">
        <v>1149.8</v>
      </c>
      <c r="AJ10" s="68">
        <f t="shared" si="7"/>
        <v>69.25552269959992</v>
      </c>
      <c r="AK10" s="68">
        <f t="shared" si="8"/>
        <v>0.6925552269959993</v>
      </c>
      <c r="AL10" s="69">
        <v>17.6</v>
      </c>
      <c r="AM10" s="69">
        <v>12.14</v>
      </c>
      <c r="AN10" s="69">
        <f t="shared" si="9"/>
        <v>100</v>
      </c>
      <c r="AO10" s="68">
        <f t="shared" si="10"/>
        <v>91.53</v>
      </c>
      <c r="AP10" s="77">
        <v>21.5</v>
      </c>
      <c r="AQ10" s="69">
        <f t="shared" si="11"/>
        <v>19.67895</v>
      </c>
    </row>
    <row r="11" spans="1:43" ht="12.75">
      <c r="A11" s="1" t="s">
        <v>50</v>
      </c>
      <c r="B11" s="84">
        <v>75805.6</v>
      </c>
      <c r="C11" s="83">
        <v>72126.1</v>
      </c>
      <c r="D11" s="68">
        <f t="shared" si="0"/>
        <v>4.853863039142227</v>
      </c>
      <c r="E11" s="68">
        <v>1</v>
      </c>
      <c r="F11" s="69">
        <v>15</v>
      </c>
      <c r="G11" s="69">
        <f t="shared" si="1"/>
        <v>15</v>
      </c>
      <c r="H11" s="85">
        <v>26622.15</v>
      </c>
      <c r="I11" s="85">
        <v>17748.1</v>
      </c>
      <c r="J11" s="68">
        <f t="shared" si="2"/>
        <v>50.000000000000014</v>
      </c>
      <c r="K11" s="68">
        <f>1-(J11-50)/50</f>
        <v>0.9999999999999997</v>
      </c>
      <c r="L11" s="69">
        <v>15</v>
      </c>
      <c r="M11" s="69">
        <f>K11*L11</f>
        <v>14.999999999999995</v>
      </c>
      <c r="N11" s="69">
        <v>28</v>
      </c>
      <c r="O11" s="69">
        <v>28</v>
      </c>
      <c r="P11" s="69">
        <v>1</v>
      </c>
      <c r="Q11" s="69">
        <v>15</v>
      </c>
      <c r="R11" s="69">
        <f>P11*Q11</f>
        <v>15</v>
      </c>
      <c r="S11" s="69">
        <v>0</v>
      </c>
      <c r="T11" s="69">
        <f>S11</f>
        <v>0</v>
      </c>
      <c r="U11" s="69">
        <v>1</v>
      </c>
      <c r="V11" s="69">
        <v>15</v>
      </c>
      <c r="W11" s="69">
        <f t="shared" si="3"/>
        <v>15</v>
      </c>
      <c r="X11" s="82"/>
      <c r="Y11" s="83">
        <v>72126.1</v>
      </c>
      <c r="Z11" s="68">
        <f t="shared" si="4"/>
        <v>0</v>
      </c>
      <c r="AA11" s="68">
        <v>1</v>
      </c>
      <c r="AB11" s="69">
        <v>15</v>
      </c>
      <c r="AC11" s="69">
        <f t="shared" si="5"/>
        <v>15</v>
      </c>
      <c r="AD11" s="56" t="s">
        <v>87</v>
      </c>
      <c r="AE11" s="68">
        <v>1</v>
      </c>
      <c r="AF11" s="69">
        <v>10</v>
      </c>
      <c r="AG11" s="69">
        <f t="shared" si="6"/>
        <v>10</v>
      </c>
      <c r="AH11" s="73">
        <v>50</v>
      </c>
      <c r="AI11" s="73">
        <v>198.9</v>
      </c>
      <c r="AJ11" s="68">
        <f t="shared" si="7"/>
        <v>25.13826043237808</v>
      </c>
      <c r="AK11" s="68">
        <f t="shared" si="8"/>
        <v>0.2513826043237808</v>
      </c>
      <c r="AL11" s="69">
        <v>15</v>
      </c>
      <c r="AM11" s="69">
        <v>3.75</v>
      </c>
      <c r="AN11" s="69">
        <f t="shared" si="9"/>
        <v>100</v>
      </c>
      <c r="AO11" s="68">
        <f t="shared" si="10"/>
        <v>88.75</v>
      </c>
      <c r="AP11" s="77">
        <v>20</v>
      </c>
      <c r="AQ11" s="69">
        <f t="shared" si="11"/>
        <v>17.75</v>
      </c>
    </row>
    <row r="12" spans="1:43" ht="12.75">
      <c r="A12" s="1" t="s">
        <v>47</v>
      </c>
      <c r="B12" s="84">
        <v>461403.6</v>
      </c>
      <c r="C12" s="83">
        <v>458873.1</v>
      </c>
      <c r="D12" s="68">
        <f t="shared" si="0"/>
        <v>0.5484352527808626</v>
      </c>
      <c r="E12" s="68">
        <v>1</v>
      </c>
      <c r="F12" s="69">
        <v>15</v>
      </c>
      <c r="G12" s="69">
        <f t="shared" si="1"/>
        <v>15</v>
      </c>
      <c r="H12" s="85">
        <v>158371.1</v>
      </c>
      <c r="I12" s="85">
        <v>105580.7</v>
      </c>
      <c r="J12" s="68">
        <f t="shared" si="2"/>
        <v>50.00004735714009</v>
      </c>
      <c r="K12" s="68">
        <v>1</v>
      </c>
      <c r="L12" s="69">
        <v>15</v>
      </c>
      <c r="M12" s="69">
        <f>K12*L12</f>
        <v>15</v>
      </c>
      <c r="N12" s="69">
        <v>3</v>
      </c>
      <c r="O12" s="69">
        <v>3</v>
      </c>
      <c r="P12" s="69">
        <v>1</v>
      </c>
      <c r="Q12" s="69">
        <v>15</v>
      </c>
      <c r="R12" s="69">
        <f>P12*Q12</f>
        <v>15</v>
      </c>
      <c r="S12" s="69">
        <v>0</v>
      </c>
      <c r="T12" s="69">
        <f>S12</f>
        <v>0</v>
      </c>
      <c r="U12" s="69">
        <v>1</v>
      </c>
      <c r="V12" s="69">
        <v>15</v>
      </c>
      <c r="W12" s="69">
        <f t="shared" si="3"/>
        <v>15</v>
      </c>
      <c r="X12" s="82">
        <v>0.7</v>
      </c>
      <c r="Y12" s="83">
        <v>458873.1</v>
      </c>
      <c r="Z12" s="68">
        <f t="shared" si="4"/>
        <v>0.00015254762155375855</v>
      </c>
      <c r="AA12" s="68">
        <v>1</v>
      </c>
      <c r="AB12" s="69">
        <v>15</v>
      </c>
      <c r="AC12" s="69">
        <f t="shared" si="5"/>
        <v>15</v>
      </c>
      <c r="AD12" s="56" t="s">
        <v>87</v>
      </c>
      <c r="AE12" s="68">
        <v>1</v>
      </c>
      <c r="AF12" s="69">
        <v>10</v>
      </c>
      <c r="AG12" s="69">
        <f t="shared" si="6"/>
        <v>10</v>
      </c>
      <c r="AH12" s="73">
        <v>723</v>
      </c>
      <c r="AI12" s="73">
        <v>1062.4</v>
      </c>
      <c r="AJ12" s="68">
        <f t="shared" si="7"/>
        <v>68.05346385542168</v>
      </c>
      <c r="AK12" s="68">
        <f t="shared" si="8"/>
        <v>0.6805346385542168</v>
      </c>
      <c r="AL12" s="69">
        <v>15</v>
      </c>
      <c r="AM12" s="69">
        <v>10.2</v>
      </c>
      <c r="AN12" s="69">
        <f t="shared" si="9"/>
        <v>100</v>
      </c>
      <c r="AO12" s="68">
        <f t="shared" si="10"/>
        <v>95.2</v>
      </c>
      <c r="AP12" s="77">
        <v>20</v>
      </c>
      <c r="AQ12" s="69">
        <f t="shared" si="11"/>
        <v>19.04</v>
      </c>
    </row>
    <row r="13" spans="1:43" ht="12.75">
      <c r="A13" s="1" t="s">
        <v>48</v>
      </c>
      <c r="B13" s="84">
        <v>275166.3</v>
      </c>
      <c r="C13" s="83">
        <v>269720</v>
      </c>
      <c r="D13" s="68">
        <f t="shared" si="0"/>
        <v>1.9792758052130617</v>
      </c>
      <c r="E13" s="68">
        <v>1</v>
      </c>
      <c r="F13" s="69">
        <v>15</v>
      </c>
      <c r="G13" s="69">
        <f t="shared" si="1"/>
        <v>15</v>
      </c>
      <c r="H13" s="85">
        <v>99296.2</v>
      </c>
      <c r="I13" s="85">
        <v>66197.5</v>
      </c>
      <c r="J13" s="68">
        <f t="shared" si="2"/>
        <v>49.999924468446686</v>
      </c>
      <c r="K13" s="68">
        <v>1</v>
      </c>
      <c r="L13" s="69">
        <v>15</v>
      </c>
      <c r="M13" s="69">
        <f>K13*L13</f>
        <v>15</v>
      </c>
      <c r="N13" s="69">
        <v>1</v>
      </c>
      <c r="O13" s="69">
        <v>1</v>
      </c>
      <c r="P13" s="69">
        <v>1</v>
      </c>
      <c r="Q13" s="69">
        <v>15</v>
      </c>
      <c r="R13" s="69">
        <f>P13*Q13</f>
        <v>15</v>
      </c>
      <c r="S13" s="69">
        <v>0</v>
      </c>
      <c r="T13" s="69">
        <f>S13</f>
        <v>0</v>
      </c>
      <c r="U13" s="69">
        <v>1</v>
      </c>
      <c r="V13" s="69">
        <v>15</v>
      </c>
      <c r="W13" s="69">
        <f t="shared" si="3"/>
        <v>15</v>
      </c>
      <c r="X13" s="82">
        <v>37.9</v>
      </c>
      <c r="Y13" s="83">
        <v>269720</v>
      </c>
      <c r="Z13" s="68">
        <f t="shared" si="4"/>
        <v>0.014051609076078896</v>
      </c>
      <c r="AA13" s="68">
        <v>1</v>
      </c>
      <c r="AB13" s="69">
        <v>15</v>
      </c>
      <c r="AC13" s="69">
        <f t="shared" si="5"/>
        <v>15</v>
      </c>
      <c r="AD13" s="56" t="s">
        <v>87</v>
      </c>
      <c r="AE13" s="68">
        <v>1</v>
      </c>
      <c r="AF13" s="69">
        <v>10</v>
      </c>
      <c r="AG13" s="69">
        <f t="shared" si="6"/>
        <v>10</v>
      </c>
      <c r="AH13" s="73">
        <v>787.8</v>
      </c>
      <c r="AI13" s="73">
        <v>1017.3</v>
      </c>
      <c r="AJ13" s="68">
        <f t="shared" si="7"/>
        <v>77.4402831023297</v>
      </c>
      <c r="AK13" s="68">
        <f t="shared" si="8"/>
        <v>0.774402831023297</v>
      </c>
      <c r="AL13" s="69">
        <v>15</v>
      </c>
      <c r="AM13" s="69">
        <v>11.55</v>
      </c>
      <c r="AN13" s="69">
        <f t="shared" si="9"/>
        <v>100</v>
      </c>
      <c r="AO13" s="68">
        <f t="shared" si="10"/>
        <v>96.55</v>
      </c>
      <c r="AP13" s="77">
        <v>20</v>
      </c>
      <c r="AQ13" s="69">
        <f t="shared" si="11"/>
        <v>19.31</v>
      </c>
    </row>
    <row r="14" spans="1:43" ht="12.75">
      <c r="A14" s="1"/>
      <c r="C14" s="76"/>
      <c r="D14" s="2"/>
      <c r="E14" s="2"/>
      <c r="F14" s="7"/>
      <c r="G14" s="2"/>
      <c r="H14" s="58"/>
      <c r="I14" s="58"/>
      <c r="J14" s="2"/>
      <c r="K14" s="2"/>
      <c r="L14" s="7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7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</row>
    <row r="15" spans="1:43" ht="12.75">
      <c r="A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</row>
    <row r="16" spans="1:43" ht="12.75">
      <c r="A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</row>
    <row r="17" spans="1:43" ht="12.75">
      <c r="A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1:43" ht="12.75">
      <c r="A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1:43" ht="12.75">
      <c r="A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</row>
    <row r="20" spans="1:43" ht="12.75">
      <c r="A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</row>
    <row r="21" spans="1:43" ht="12.75">
      <c r="A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</row>
    <row r="22" spans="1:43" ht="12.75">
      <c r="A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</row>
    <row r="23" spans="1:43" ht="12.75">
      <c r="A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</row>
    <row r="24" spans="1:43" ht="12.75">
      <c r="A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</row>
  </sheetData>
  <sheetProtection/>
  <mergeCells count="20">
    <mergeCell ref="AO5:AO6"/>
    <mergeCell ref="AN5:AN6"/>
    <mergeCell ref="AM5:AM6"/>
    <mergeCell ref="AH5:AL5"/>
    <mergeCell ref="G5:G6"/>
    <mergeCell ref="AC5:AC6"/>
    <mergeCell ref="W5:W6"/>
    <mergeCell ref="S5:V5"/>
    <mergeCell ref="X5:AB5"/>
    <mergeCell ref="M5:M6"/>
    <mergeCell ref="A4:A6"/>
    <mergeCell ref="H5:L5"/>
    <mergeCell ref="N5:Q5"/>
    <mergeCell ref="R5:R6"/>
    <mergeCell ref="B4:AQ4"/>
    <mergeCell ref="B5:F5"/>
    <mergeCell ref="AP5:AP6"/>
    <mergeCell ref="AD5:AF5"/>
    <mergeCell ref="AG5:AG6"/>
    <mergeCell ref="AQ5:AQ6"/>
  </mergeCells>
  <printOptions/>
  <pageMargins left="0.1968503937007874" right="0.1968503937007874" top="0.1968503937007874" bottom="0.1968503937007874" header="0.5118110236220472" footer="0.5118110236220472"/>
  <pageSetup fitToHeight="0" fitToWidth="0" horizontalDpi="600" verticalDpi="600" orientation="landscape" paperSize="9" scale="94" r:id="rId3"/>
  <legacyDrawing r:id="rId2"/>
  <oleObjects>
    <oleObject progId="Equation.3" shapeId="158046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4:T24"/>
  <sheetViews>
    <sheetView view="pageBreakPreview" zoomScaleNormal="78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6" sqref="F6"/>
    </sheetView>
  </sheetViews>
  <sheetFormatPr defaultColWidth="9.00390625" defaultRowHeight="12.75"/>
  <cols>
    <col min="1" max="1" width="24.875" style="0" bestFit="1" customWidth="1"/>
    <col min="2" max="2" width="15.875" style="0" customWidth="1"/>
    <col min="3" max="3" width="10.875" style="0" customWidth="1"/>
    <col min="4" max="4" width="12.25390625" style="0" customWidth="1"/>
    <col min="5" max="5" width="13.625" style="0" customWidth="1"/>
    <col min="6" max="6" width="28.00390625" style="0" customWidth="1"/>
    <col min="7" max="7" width="7.00390625" style="0" customWidth="1"/>
    <col min="8" max="8" width="10.875" style="0" customWidth="1"/>
    <col min="9" max="9" width="13.875" style="0" customWidth="1"/>
    <col min="10" max="10" width="13.125" style="0" customWidth="1"/>
    <col min="11" max="11" width="12.875" style="0" customWidth="1"/>
    <col min="12" max="12" width="10.00390625" style="0" customWidth="1"/>
    <col min="13" max="13" width="10.875" style="0" customWidth="1"/>
    <col min="14" max="14" width="6.875" style="0" customWidth="1"/>
    <col min="15" max="15" width="8.625" style="0" customWidth="1"/>
    <col min="16" max="16" width="8.375" style="0" customWidth="1"/>
    <col min="17" max="17" width="6.875" style="0" customWidth="1"/>
    <col min="18" max="18" width="10.125" style="0" customWidth="1"/>
    <col min="19" max="19" width="6.125" style="0" customWidth="1"/>
    <col min="20" max="20" width="9.625" style="0" customWidth="1"/>
  </cols>
  <sheetData>
    <row r="4" spans="1:20" ht="12.75">
      <c r="A4" s="139" t="s">
        <v>44</v>
      </c>
      <c r="B4" s="108" t="s">
        <v>54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23"/>
      <c r="R4" s="23"/>
      <c r="S4" s="23"/>
      <c r="T4" s="24"/>
    </row>
    <row r="5" spans="1:20" ht="29.25" customHeight="1">
      <c r="A5" s="139"/>
      <c r="B5" s="140" t="s">
        <v>166</v>
      </c>
      <c r="C5" s="106"/>
      <c r="D5" s="106"/>
      <c r="E5" s="106"/>
      <c r="F5" s="106"/>
      <c r="G5" s="107"/>
      <c r="H5" s="96" t="s">
        <v>56</v>
      </c>
      <c r="I5" s="117" t="s">
        <v>66</v>
      </c>
      <c r="J5" s="117"/>
      <c r="K5" s="117"/>
      <c r="L5" s="117"/>
      <c r="M5" s="117"/>
      <c r="N5" s="117"/>
      <c r="O5" s="117"/>
      <c r="P5" s="117"/>
      <c r="Q5" s="87" t="s">
        <v>30</v>
      </c>
      <c r="R5" s="90" t="s">
        <v>57</v>
      </c>
      <c r="S5" s="111" t="s">
        <v>88</v>
      </c>
      <c r="T5" s="114" t="s">
        <v>51</v>
      </c>
    </row>
    <row r="6" spans="1:20" ht="212.25" customHeight="1">
      <c r="A6" s="139"/>
      <c r="B6" s="29" t="s">
        <v>144</v>
      </c>
      <c r="C6" s="29" t="s">
        <v>145</v>
      </c>
      <c r="D6" s="29" t="s">
        <v>167</v>
      </c>
      <c r="E6" s="29" t="s">
        <v>168</v>
      </c>
      <c r="F6" s="34" t="s">
        <v>169</v>
      </c>
      <c r="G6" s="25" t="s">
        <v>45</v>
      </c>
      <c r="H6" s="95"/>
      <c r="I6" s="35" t="s">
        <v>94</v>
      </c>
      <c r="J6" s="35" t="s">
        <v>29</v>
      </c>
      <c r="K6" s="35" t="s">
        <v>91</v>
      </c>
      <c r="L6" s="66" t="s">
        <v>93</v>
      </c>
      <c r="M6" s="66" t="s">
        <v>92</v>
      </c>
      <c r="N6" s="64" t="s">
        <v>45</v>
      </c>
      <c r="O6" s="67" t="s">
        <v>27</v>
      </c>
      <c r="P6" s="67" t="s">
        <v>28</v>
      </c>
      <c r="Q6" s="89"/>
      <c r="R6" s="92"/>
      <c r="S6" s="113"/>
      <c r="T6" s="116"/>
    </row>
    <row r="7" spans="1:20" ht="12.75">
      <c r="A7" s="36">
        <v>1</v>
      </c>
      <c r="B7" s="27">
        <v>2</v>
      </c>
      <c r="C7" s="36">
        <v>3</v>
      </c>
      <c r="D7" s="27">
        <v>4</v>
      </c>
      <c r="E7" s="36">
        <v>5</v>
      </c>
      <c r="F7" s="27">
        <v>6</v>
      </c>
      <c r="G7" s="36">
        <v>7</v>
      </c>
      <c r="H7" s="27">
        <v>8</v>
      </c>
      <c r="I7" s="36">
        <v>9</v>
      </c>
      <c r="J7" s="27">
        <v>10</v>
      </c>
      <c r="K7" s="36">
        <v>11</v>
      </c>
      <c r="L7" s="27">
        <v>12</v>
      </c>
      <c r="M7" s="36">
        <v>13</v>
      </c>
      <c r="N7" s="27">
        <v>14</v>
      </c>
      <c r="O7" s="36">
        <v>15</v>
      </c>
      <c r="P7" s="27">
        <v>16</v>
      </c>
      <c r="Q7" s="36">
        <v>17</v>
      </c>
      <c r="R7" s="27">
        <v>18</v>
      </c>
      <c r="S7" s="36">
        <v>19</v>
      </c>
      <c r="T7" s="27">
        <v>20</v>
      </c>
    </row>
    <row r="8" spans="1:20" ht="12.75">
      <c r="A8" s="1" t="s">
        <v>46</v>
      </c>
      <c r="B8" s="86">
        <v>6115.6</v>
      </c>
      <c r="C8" s="86">
        <v>15774.1</v>
      </c>
      <c r="D8" s="4"/>
      <c r="E8" s="4">
        <f>100*(C8-B8)/B8</f>
        <v>157.93217345804172</v>
      </c>
      <c r="F8" s="19">
        <v>0</v>
      </c>
      <c r="G8" s="5">
        <v>50</v>
      </c>
      <c r="H8" s="5">
        <f>F8*G8</f>
        <v>0</v>
      </c>
      <c r="I8" s="65">
        <v>7.9</v>
      </c>
      <c r="J8" s="86">
        <v>15774.1</v>
      </c>
      <c r="K8" s="4">
        <f>100*(I8/J8)</f>
        <v>0.05008209660139089</v>
      </c>
      <c r="L8" s="4">
        <v>1</v>
      </c>
      <c r="M8" s="4"/>
      <c r="N8" s="5">
        <v>50</v>
      </c>
      <c r="O8" s="5">
        <f aca="true" t="shared" si="0" ref="O8:O13">L8*N8</f>
        <v>50</v>
      </c>
      <c r="P8" s="5">
        <f aca="true" t="shared" si="1" ref="P8:P13">M8*N8</f>
        <v>0</v>
      </c>
      <c r="Q8" s="5">
        <f aca="true" t="shared" si="2" ref="Q8:Q13">N8++G8</f>
        <v>100</v>
      </c>
      <c r="R8" s="4">
        <f aca="true" t="shared" si="3" ref="R8:R13">P8+O8+H8</f>
        <v>50</v>
      </c>
      <c r="S8" s="4">
        <v>7</v>
      </c>
      <c r="T8" s="5">
        <f aca="true" t="shared" si="4" ref="T8:T13">R8*S8/100</f>
        <v>3.5</v>
      </c>
    </row>
    <row r="9" spans="1:20" ht="12.75">
      <c r="A9" s="1" t="s">
        <v>136</v>
      </c>
      <c r="B9" s="63"/>
      <c r="C9" s="63"/>
      <c r="D9" s="4"/>
      <c r="E9" s="4"/>
      <c r="F9" s="19"/>
      <c r="G9" s="5"/>
      <c r="H9" s="5"/>
      <c r="I9" s="65">
        <v>0</v>
      </c>
      <c r="J9" s="70"/>
      <c r="K9" s="4">
        <v>0</v>
      </c>
      <c r="L9" s="4">
        <v>1</v>
      </c>
      <c r="M9" s="4"/>
      <c r="N9" s="5">
        <v>100</v>
      </c>
      <c r="O9" s="5">
        <f t="shared" si="0"/>
        <v>100</v>
      </c>
      <c r="P9" s="5">
        <f t="shared" si="1"/>
        <v>0</v>
      </c>
      <c r="Q9" s="5">
        <f t="shared" si="2"/>
        <v>100</v>
      </c>
      <c r="R9" s="4">
        <f t="shared" si="3"/>
        <v>100</v>
      </c>
      <c r="S9" s="4">
        <v>7.6</v>
      </c>
      <c r="T9" s="5">
        <f t="shared" si="4"/>
        <v>7.6</v>
      </c>
    </row>
    <row r="10" spans="1:20" ht="12.75">
      <c r="A10" s="1" t="s">
        <v>49</v>
      </c>
      <c r="B10" s="63"/>
      <c r="C10" s="63"/>
      <c r="D10" s="4"/>
      <c r="E10" s="4"/>
      <c r="F10" s="4">
        <v>1</v>
      </c>
      <c r="G10" s="5">
        <v>50</v>
      </c>
      <c r="H10" s="5">
        <f>F10*G10</f>
        <v>50</v>
      </c>
      <c r="I10" s="5">
        <v>0</v>
      </c>
      <c r="J10" s="70"/>
      <c r="K10" s="4">
        <v>0</v>
      </c>
      <c r="L10" s="4">
        <v>1</v>
      </c>
      <c r="M10" s="4"/>
      <c r="N10" s="5">
        <v>50</v>
      </c>
      <c r="O10" s="5">
        <f t="shared" si="0"/>
        <v>50</v>
      </c>
      <c r="P10" s="5">
        <f t="shared" si="1"/>
        <v>0</v>
      </c>
      <c r="Q10" s="5">
        <f t="shared" si="2"/>
        <v>100</v>
      </c>
      <c r="R10" s="4">
        <f t="shared" si="3"/>
        <v>100</v>
      </c>
      <c r="S10" s="4">
        <v>7.6</v>
      </c>
      <c r="T10" s="5">
        <f t="shared" si="4"/>
        <v>7.6</v>
      </c>
    </row>
    <row r="11" spans="1:20" ht="12.75">
      <c r="A11" s="1" t="s">
        <v>50</v>
      </c>
      <c r="B11" s="63"/>
      <c r="C11" s="63"/>
      <c r="D11" s="4"/>
      <c r="E11" s="4"/>
      <c r="F11" s="4">
        <v>1</v>
      </c>
      <c r="G11" s="5">
        <v>50</v>
      </c>
      <c r="H11" s="5">
        <f>F11*G11</f>
        <v>50</v>
      </c>
      <c r="I11" s="5">
        <v>0</v>
      </c>
      <c r="J11" s="70"/>
      <c r="K11" s="4">
        <v>0</v>
      </c>
      <c r="L11" s="4">
        <v>1</v>
      </c>
      <c r="M11" s="4"/>
      <c r="N11" s="5">
        <v>50</v>
      </c>
      <c r="O11" s="5">
        <f t="shared" si="0"/>
        <v>50</v>
      </c>
      <c r="P11" s="5">
        <f t="shared" si="1"/>
        <v>0</v>
      </c>
      <c r="Q11" s="5">
        <f t="shared" si="2"/>
        <v>100</v>
      </c>
      <c r="R11" s="4">
        <f t="shared" si="3"/>
        <v>100</v>
      </c>
      <c r="S11" s="4">
        <v>7</v>
      </c>
      <c r="T11" s="5">
        <f t="shared" si="4"/>
        <v>7</v>
      </c>
    </row>
    <row r="12" spans="1:20" ht="12.75">
      <c r="A12" s="1" t="s">
        <v>47</v>
      </c>
      <c r="B12" s="63"/>
      <c r="C12" s="63"/>
      <c r="D12" s="4"/>
      <c r="E12" s="4"/>
      <c r="F12" s="4">
        <v>1</v>
      </c>
      <c r="G12" s="5">
        <v>50</v>
      </c>
      <c r="H12" s="5">
        <f>F12*G12</f>
        <v>50</v>
      </c>
      <c r="I12" s="5">
        <v>0</v>
      </c>
      <c r="J12" s="70"/>
      <c r="K12" s="4">
        <v>0</v>
      </c>
      <c r="L12" s="4">
        <v>1</v>
      </c>
      <c r="M12" s="4"/>
      <c r="N12" s="5">
        <v>50</v>
      </c>
      <c r="O12" s="5">
        <f t="shared" si="0"/>
        <v>50</v>
      </c>
      <c r="P12" s="5">
        <f t="shared" si="1"/>
        <v>0</v>
      </c>
      <c r="Q12" s="5">
        <f t="shared" si="2"/>
        <v>100</v>
      </c>
      <c r="R12" s="4">
        <f t="shared" si="3"/>
        <v>100</v>
      </c>
      <c r="S12" s="4">
        <v>7</v>
      </c>
      <c r="T12" s="5">
        <f t="shared" si="4"/>
        <v>7</v>
      </c>
    </row>
    <row r="13" spans="1:20" ht="12.75">
      <c r="A13" s="1" t="s">
        <v>48</v>
      </c>
      <c r="B13" s="63"/>
      <c r="C13" s="63"/>
      <c r="D13" s="4"/>
      <c r="E13" s="4"/>
      <c r="F13" s="4">
        <v>1</v>
      </c>
      <c r="G13" s="5">
        <v>50</v>
      </c>
      <c r="H13" s="5">
        <f>F13*G13</f>
        <v>50</v>
      </c>
      <c r="I13" s="5">
        <v>0</v>
      </c>
      <c r="J13" s="70"/>
      <c r="K13" s="4">
        <v>0</v>
      </c>
      <c r="L13" s="4">
        <v>1</v>
      </c>
      <c r="M13" s="4"/>
      <c r="N13" s="5">
        <v>50</v>
      </c>
      <c r="O13" s="5">
        <f t="shared" si="0"/>
        <v>50</v>
      </c>
      <c r="P13" s="5">
        <f t="shared" si="1"/>
        <v>0</v>
      </c>
      <c r="Q13" s="5">
        <f t="shared" si="2"/>
        <v>100</v>
      </c>
      <c r="R13" s="4">
        <f t="shared" si="3"/>
        <v>100</v>
      </c>
      <c r="S13" s="4">
        <v>7</v>
      </c>
      <c r="T13" s="5">
        <f t="shared" si="4"/>
        <v>7</v>
      </c>
    </row>
    <row r="14" spans="1:20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</sheetData>
  <sheetProtection/>
  <mergeCells count="9">
    <mergeCell ref="S5:S6"/>
    <mergeCell ref="T5:T6"/>
    <mergeCell ref="A4:A6"/>
    <mergeCell ref="B4:P4"/>
    <mergeCell ref="R5:R6"/>
    <mergeCell ref="H5:H6"/>
    <mergeCell ref="I5:P5"/>
    <mergeCell ref="Q5:Q6"/>
    <mergeCell ref="B5:G5"/>
  </mergeCells>
  <printOptions/>
  <pageMargins left="0.1968503937007874" right="0.1968503937007874" top="0.1968503937007874" bottom="0.1968503937007874" header="0.5118110236220472" footer="0.5118110236220472"/>
  <pageSetup fitToHeight="0" fitToWidth="0" horizontalDpi="600" verticalDpi="600" orientation="landscape" paperSize="9" r:id="rId4"/>
  <legacyDrawing r:id="rId3"/>
  <oleObjects>
    <oleObject progId="Equation.3" shapeId="1786164" r:id="rId1"/>
    <oleObject progId="Equation.3" shapeId="1790876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4:M24"/>
  <sheetViews>
    <sheetView view="pageBreakPreview" zoomScaleNormal="75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9" sqref="A9"/>
    </sheetView>
  </sheetViews>
  <sheetFormatPr defaultColWidth="9.00390625" defaultRowHeight="12.75"/>
  <cols>
    <col min="1" max="1" width="24.875" style="0" bestFit="1" customWidth="1"/>
    <col min="2" max="2" width="18.125" style="0" customWidth="1"/>
    <col min="3" max="3" width="15.75390625" style="0" customWidth="1"/>
    <col min="4" max="4" width="7.75390625" style="0" customWidth="1"/>
    <col min="5" max="5" width="8.75390625" style="0" customWidth="1"/>
    <col min="6" max="6" width="12.625" style="0" customWidth="1"/>
    <col min="7" max="7" width="12.375" style="0" customWidth="1"/>
    <col min="8" max="8" width="6.875" style="0" customWidth="1"/>
    <col min="9" max="9" width="8.75390625" style="0" customWidth="1"/>
    <col min="10" max="11" width="7.375" style="0" customWidth="1"/>
    <col min="12" max="12" width="6.75390625" style="0" customWidth="1"/>
    <col min="13" max="13" width="9.00390625" style="0" customWidth="1"/>
  </cols>
  <sheetData>
    <row r="4" spans="1:13" ht="15.75" customHeight="1">
      <c r="A4" s="139" t="s">
        <v>44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60" customHeight="1">
      <c r="A5" s="139"/>
      <c r="B5" s="144" t="s">
        <v>146</v>
      </c>
      <c r="C5" s="144"/>
      <c r="D5" s="144"/>
      <c r="E5" s="143" t="s">
        <v>56</v>
      </c>
      <c r="F5" s="141" t="s">
        <v>147</v>
      </c>
      <c r="G5" s="142"/>
      <c r="H5" s="142"/>
      <c r="I5" s="143" t="s">
        <v>56</v>
      </c>
      <c r="J5" s="87" t="s">
        <v>26</v>
      </c>
      <c r="K5" s="90" t="s">
        <v>57</v>
      </c>
      <c r="L5" s="111" t="s">
        <v>88</v>
      </c>
      <c r="M5" s="114" t="s">
        <v>51</v>
      </c>
    </row>
    <row r="6" spans="1:13" ht="138" customHeight="1">
      <c r="A6" s="139"/>
      <c r="B6" s="40" t="s">
        <v>95</v>
      </c>
      <c r="C6" s="40" t="s">
        <v>96</v>
      </c>
      <c r="D6" s="25" t="s">
        <v>45</v>
      </c>
      <c r="E6" s="143"/>
      <c r="F6" s="40" t="s">
        <v>23</v>
      </c>
      <c r="G6" s="40" t="s">
        <v>24</v>
      </c>
      <c r="H6" s="46" t="s">
        <v>45</v>
      </c>
      <c r="I6" s="143"/>
      <c r="J6" s="89"/>
      <c r="K6" s="92"/>
      <c r="L6" s="113"/>
      <c r="M6" s="116"/>
    </row>
    <row r="7" spans="1:13" ht="12.75">
      <c r="A7" s="27">
        <v>1</v>
      </c>
      <c r="B7" s="27">
        <v>2</v>
      </c>
      <c r="C7" s="38">
        <v>3</v>
      </c>
      <c r="D7" s="38">
        <v>4</v>
      </c>
      <c r="E7" s="27">
        <v>5</v>
      </c>
      <c r="F7" s="27">
        <v>6</v>
      </c>
      <c r="G7" s="27">
        <v>7</v>
      </c>
      <c r="H7" s="38">
        <v>8</v>
      </c>
      <c r="I7" s="38">
        <v>9</v>
      </c>
      <c r="J7" s="27">
        <v>10</v>
      </c>
      <c r="K7" s="27">
        <v>11</v>
      </c>
      <c r="L7" s="27">
        <v>12</v>
      </c>
      <c r="M7" s="27">
        <v>13</v>
      </c>
    </row>
    <row r="8" spans="1:13" ht="12.75">
      <c r="A8" s="1" t="s">
        <v>46</v>
      </c>
      <c r="B8" s="27" t="s">
        <v>148</v>
      </c>
      <c r="C8" s="5">
        <v>1</v>
      </c>
      <c r="D8" s="5">
        <v>50</v>
      </c>
      <c r="E8" s="5">
        <f aca="true" t="shared" si="0" ref="E8:E13">C8*D8</f>
        <v>50</v>
      </c>
      <c r="F8" s="52" t="s">
        <v>106</v>
      </c>
      <c r="G8" s="5">
        <v>1</v>
      </c>
      <c r="H8" s="5">
        <v>50</v>
      </c>
      <c r="I8" s="5">
        <f aca="true" t="shared" si="1" ref="I8:I13">G8*H8</f>
        <v>50</v>
      </c>
      <c r="J8" s="5">
        <f aca="true" t="shared" si="2" ref="J8:K13">D8+H8</f>
        <v>100</v>
      </c>
      <c r="K8" s="5">
        <f t="shared" si="2"/>
        <v>100</v>
      </c>
      <c r="L8" s="5">
        <v>15</v>
      </c>
      <c r="M8" s="5">
        <f aca="true" t="shared" si="3" ref="M8:M13">(K8*L8)/100</f>
        <v>15</v>
      </c>
    </row>
    <row r="9" spans="1:13" ht="12.75">
      <c r="A9" s="1" t="s">
        <v>136</v>
      </c>
      <c r="B9" s="27" t="s">
        <v>148</v>
      </c>
      <c r="C9" s="5">
        <v>1</v>
      </c>
      <c r="D9" s="5">
        <v>50</v>
      </c>
      <c r="E9" s="5">
        <f t="shared" si="0"/>
        <v>50</v>
      </c>
      <c r="F9" s="52" t="s">
        <v>106</v>
      </c>
      <c r="G9" s="5">
        <v>1</v>
      </c>
      <c r="H9" s="5">
        <v>50</v>
      </c>
      <c r="I9" s="5">
        <f t="shared" si="1"/>
        <v>50</v>
      </c>
      <c r="J9" s="5">
        <f t="shared" si="2"/>
        <v>100</v>
      </c>
      <c r="K9" s="5">
        <f t="shared" si="2"/>
        <v>100</v>
      </c>
      <c r="L9" s="5">
        <v>16.1</v>
      </c>
      <c r="M9" s="5">
        <f t="shared" si="3"/>
        <v>16.1</v>
      </c>
    </row>
    <row r="10" spans="1:13" ht="12.75">
      <c r="A10" s="1" t="s">
        <v>49</v>
      </c>
      <c r="B10" s="27" t="s">
        <v>148</v>
      </c>
      <c r="C10" s="5">
        <v>1</v>
      </c>
      <c r="D10" s="5">
        <v>50</v>
      </c>
      <c r="E10" s="5">
        <f t="shared" si="0"/>
        <v>50</v>
      </c>
      <c r="F10" s="52" t="s">
        <v>106</v>
      </c>
      <c r="G10" s="5">
        <v>1</v>
      </c>
      <c r="H10" s="5">
        <v>50</v>
      </c>
      <c r="I10" s="5">
        <f t="shared" si="1"/>
        <v>50</v>
      </c>
      <c r="J10" s="5">
        <f t="shared" si="2"/>
        <v>100</v>
      </c>
      <c r="K10" s="5">
        <f t="shared" si="2"/>
        <v>100</v>
      </c>
      <c r="L10" s="5">
        <v>16.1</v>
      </c>
      <c r="M10" s="5">
        <f t="shared" si="3"/>
        <v>16.1</v>
      </c>
    </row>
    <row r="11" spans="1:13" ht="12.75">
      <c r="A11" s="1" t="s">
        <v>50</v>
      </c>
      <c r="B11" s="27" t="s">
        <v>148</v>
      </c>
      <c r="C11" s="5">
        <v>1</v>
      </c>
      <c r="D11" s="5">
        <v>50</v>
      </c>
      <c r="E11" s="5">
        <f t="shared" si="0"/>
        <v>50</v>
      </c>
      <c r="F11" s="52" t="s">
        <v>106</v>
      </c>
      <c r="G11" s="5">
        <v>1</v>
      </c>
      <c r="H11" s="5">
        <v>50</v>
      </c>
      <c r="I11" s="5">
        <f t="shared" si="1"/>
        <v>50</v>
      </c>
      <c r="J11" s="5">
        <f t="shared" si="2"/>
        <v>100</v>
      </c>
      <c r="K11" s="5">
        <f t="shared" si="2"/>
        <v>100</v>
      </c>
      <c r="L11" s="5">
        <v>15</v>
      </c>
      <c r="M11" s="5">
        <f t="shared" si="3"/>
        <v>15</v>
      </c>
    </row>
    <row r="12" spans="1:13" ht="12.75">
      <c r="A12" s="1" t="s">
        <v>47</v>
      </c>
      <c r="B12" s="27" t="s">
        <v>148</v>
      </c>
      <c r="C12" s="5">
        <v>1</v>
      </c>
      <c r="D12" s="5">
        <v>50</v>
      </c>
      <c r="E12" s="5">
        <f t="shared" si="0"/>
        <v>50</v>
      </c>
      <c r="F12" s="52" t="s">
        <v>106</v>
      </c>
      <c r="G12" s="5">
        <v>1</v>
      </c>
      <c r="H12" s="5">
        <v>50</v>
      </c>
      <c r="I12" s="5">
        <f t="shared" si="1"/>
        <v>50</v>
      </c>
      <c r="J12" s="5">
        <f t="shared" si="2"/>
        <v>100</v>
      </c>
      <c r="K12" s="5">
        <f t="shared" si="2"/>
        <v>100</v>
      </c>
      <c r="L12" s="5">
        <v>15</v>
      </c>
      <c r="M12" s="5">
        <f t="shared" si="3"/>
        <v>15</v>
      </c>
    </row>
    <row r="13" spans="1:13" ht="12.75">
      <c r="A13" s="1" t="s">
        <v>48</v>
      </c>
      <c r="B13" s="27" t="s">
        <v>148</v>
      </c>
      <c r="C13" s="5">
        <v>1</v>
      </c>
      <c r="D13" s="5">
        <v>50</v>
      </c>
      <c r="E13" s="5">
        <f t="shared" si="0"/>
        <v>50</v>
      </c>
      <c r="F13" s="52" t="s">
        <v>106</v>
      </c>
      <c r="G13" s="5">
        <v>1</v>
      </c>
      <c r="H13" s="5">
        <v>50</v>
      </c>
      <c r="I13" s="5">
        <f t="shared" si="1"/>
        <v>50</v>
      </c>
      <c r="J13" s="5">
        <f t="shared" si="2"/>
        <v>100</v>
      </c>
      <c r="K13" s="5">
        <f t="shared" si="2"/>
        <v>100</v>
      </c>
      <c r="L13" s="5">
        <v>15</v>
      </c>
      <c r="M13" s="5">
        <f t="shared" si="3"/>
        <v>15</v>
      </c>
    </row>
    <row r="14" spans="1:13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</sheetData>
  <sheetProtection/>
  <mergeCells count="9">
    <mergeCell ref="A4:A6"/>
    <mergeCell ref="M5:M6"/>
    <mergeCell ref="K5:K6"/>
    <mergeCell ref="L5:L6"/>
    <mergeCell ref="J5:J6"/>
    <mergeCell ref="F5:H5"/>
    <mergeCell ref="I5:I6"/>
    <mergeCell ref="B5:D5"/>
    <mergeCell ref="E5:E6"/>
  </mergeCells>
  <printOptions/>
  <pageMargins left="0.1968503937007874" right="0.1968503937007874" top="0.1968503937007874" bottom="0.1968503937007874" header="0.5118110236220472" footer="0.5118110236220472"/>
  <pageSetup fitToHeight="0" fitToWidth="0" horizontalDpi="600" verticalDpi="600" orientation="landscape" paperSize="9" r:id="rId5"/>
  <legacyDrawing r:id="rId4"/>
  <oleObjects>
    <oleObject progId="Equation.3" shapeId="1827662" r:id="rId1"/>
    <oleObject progId="Equation.3" shapeId="1894974" r:id="rId2"/>
    <oleObject progId="Equation.3" shapeId="1901556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4:AK24"/>
  <sheetViews>
    <sheetView zoomScaleSheetLayoutView="100" zoomScalePageLayoutView="0" workbookViewId="0" topLeftCell="A4">
      <pane xSplit="1" ySplit="4" topLeftCell="U8" activePane="bottomRight" state="frozen"/>
      <selection pane="topLeft" activeCell="A4" sqref="A4"/>
      <selection pane="topRight" activeCell="B4" sqref="B4"/>
      <selection pane="bottomLeft" activeCell="A8" sqref="A8"/>
      <selection pane="bottomRight" activeCell="AD5" sqref="AD5:AF5"/>
    </sheetView>
  </sheetViews>
  <sheetFormatPr defaultColWidth="9.00390625" defaultRowHeight="12.75"/>
  <cols>
    <col min="1" max="1" width="24.875" style="0" bestFit="1" customWidth="1"/>
    <col min="2" max="2" width="25.125" style="0" customWidth="1"/>
    <col min="3" max="3" width="13.75390625" style="0" customWidth="1"/>
    <col min="4" max="4" width="7.625" style="0" customWidth="1"/>
    <col min="5" max="5" width="8.625" style="0" customWidth="1"/>
    <col min="6" max="6" width="20.125" style="0" customWidth="1"/>
    <col min="7" max="7" width="15.875" style="0" customWidth="1"/>
    <col min="8" max="8" width="14.25390625" style="0" customWidth="1"/>
    <col min="9" max="9" width="16.125" style="0" customWidth="1"/>
    <col min="10" max="10" width="8.125" style="0" customWidth="1"/>
    <col min="11" max="11" width="8.375" style="0" customWidth="1"/>
    <col min="12" max="12" width="16.125" style="0" customWidth="1"/>
    <col min="13" max="13" width="14.625" style="0" customWidth="1"/>
    <col min="14" max="14" width="8.375" style="0" customWidth="1"/>
    <col min="15" max="15" width="27.00390625" style="0" customWidth="1"/>
    <col min="16" max="17" width="8.00390625" style="0" customWidth="1"/>
    <col min="18" max="18" width="16.375" style="0" customWidth="1"/>
    <col min="19" max="19" width="14.875" style="0" customWidth="1"/>
    <col min="20" max="21" width="8.00390625" style="0" customWidth="1"/>
    <col min="22" max="22" width="24.25390625" style="0" customWidth="1"/>
    <col min="23" max="23" width="27.75390625" style="0" customWidth="1"/>
    <col min="24" max="24" width="11.25390625" style="0" customWidth="1"/>
    <col min="25" max="25" width="8.25390625" style="0" customWidth="1"/>
    <col min="26" max="26" width="13.125" style="0" customWidth="1"/>
    <col min="27" max="27" width="29.625" style="0" customWidth="1"/>
    <col min="28" max="28" width="8.00390625" style="0" customWidth="1"/>
    <col min="29" max="29" width="8.125" style="0" customWidth="1"/>
    <col min="30" max="30" width="15.00390625" style="0" customWidth="1"/>
    <col min="31" max="31" width="31.625" style="0" customWidth="1"/>
    <col min="32" max="32" width="10.75390625" style="0" customWidth="1"/>
    <col min="33" max="33" width="8.125" style="0" customWidth="1"/>
    <col min="34" max="34" width="12.25390625" style="0" customWidth="1"/>
    <col min="35" max="35" width="9.75390625" style="0" customWidth="1"/>
    <col min="36" max="36" width="6.75390625" style="0" customWidth="1"/>
    <col min="37" max="37" width="9.25390625" style="0" customWidth="1"/>
  </cols>
  <sheetData>
    <row r="4" spans="1:37" ht="12.75">
      <c r="A4" s="139" t="s">
        <v>44</v>
      </c>
      <c r="B4" s="108" t="s">
        <v>55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10"/>
      <c r="AD4" s="24"/>
      <c r="AE4" s="24"/>
      <c r="AF4" s="24"/>
      <c r="AG4" s="24"/>
      <c r="AH4" s="41"/>
      <c r="AI4" s="41"/>
      <c r="AJ4" s="41"/>
      <c r="AK4" s="41"/>
    </row>
    <row r="5" spans="1:37" ht="69.75" customHeight="1">
      <c r="A5" s="139"/>
      <c r="B5" s="108" t="s">
        <v>149</v>
      </c>
      <c r="C5" s="109"/>
      <c r="D5" s="110"/>
      <c r="E5" s="96" t="s">
        <v>56</v>
      </c>
      <c r="F5" s="145" t="s">
        <v>152</v>
      </c>
      <c r="G5" s="146"/>
      <c r="H5" s="146"/>
      <c r="I5" s="146"/>
      <c r="J5" s="147"/>
      <c r="K5" s="96" t="s">
        <v>56</v>
      </c>
      <c r="L5" s="145" t="s">
        <v>170</v>
      </c>
      <c r="M5" s="146"/>
      <c r="N5" s="146"/>
      <c r="O5" s="146"/>
      <c r="P5" s="147"/>
      <c r="Q5" s="96" t="s">
        <v>56</v>
      </c>
      <c r="R5" s="145" t="s">
        <v>126</v>
      </c>
      <c r="S5" s="146"/>
      <c r="T5" s="146"/>
      <c r="U5" s="96" t="s">
        <v>56</v>
      </c>
      <c r="V5" s="108" t="s">
        <v>129</v>
      </c>
      <c r="W5" s="109"/>
      <c r="X5" s="109"/>
      <c r="Y5" s="96" t="s">
        <v>56</v>
      </c>
      <c r="Z5" s="108" t="s">
        <v>173</v>
      </c>
      <c r="AA5" s="109"/>
      <c r="AB5" s="110"/>
      <c r="AC5" s="96" t="s">
        <v>56</v>
      </c>
      <c r="AD5" s="108" t="s">
        <v>176</v>
      </c>
      <c r="AE5" s="109"/>
      <c r="AF5" s="110"/>
      <c r="AG5" s="96" t="s">
        <v>56</v>
      </c>
      <c r="AH5" s="87" t="s">
        <v>58</v>
      </c>
      <c r="AI5" s="90" t="s">
        <v>57</v>
      </c>
      <c r="AJ5" s="111" t="s">
        <v>88</v>
      </c>
      <c r="AK5" s="114" t="s">
        <v>51</v>
      </c>
    </row>
    <row r="6" spans="1:37" ht="315" customHeight="1">
      <c r="A6" s="139"/>
      <c r="B6" s="22" t="s">
        <v>150</v>
      </c>
      <c r="C6" s="26" t="s">
        <v>151</v>
      </c>
      <c r="D6" s="25" t="s">
        <v>45</v>
      </c>
      <c r="E6" s="95"/>
      <c r="F6" s="22" t="s">
        <v>154</v>
      </c>
      <c r="G6" s="22" t="s">
        <v>153</v>
      </c>
      <c r="H6" s="22" t="s">
        <v>171</v>
      </c>
      <c r="I6" s="26" t="s">
        <v>10</v>
      </c>
      <c r="J6" s="25" t="s">
        <v>45</v>
      </c>
      <c r="K6" s="95"/>
      <c r="L6" s="35" t="s">
        <v>155</v>
      </c>
      <c r="M6" s="35" t="s">
        <v>124</v>
      </c>
      <c r="N6" s="35" t="s">
        <v>125</v>
      </c>
      <c r="O6" s="35" t="s">
        <v>172</v>
      </c>
      <c r="P6" s="25" t="s">
        <v>45</v>
      </c>
      <c r="Q6" s="95"/>
      <c r="R6" s="35" t="s">
        <v>127</v>
      </c>
      <c r="S6" s="35" t="s">
        <v>128</v>
      </c>
      <c r="T6" s="25" t="s">
        <v>45</v>
      </c>
      <c r="U6" s="95"/>
      <c r="V6" s="22" t="s">
        <v>67</v>
      </c>
      <c r="W6" s="26" t="s">
        <v>68</v>
      </c>
      <c r="X6" s="25" t="s">
        <v>45</v>
      </c>
      <c r="Y6" s="95"/>
      <c r="Z6" s="22" t="s">
        <v>69</v>
      </c>
      <c r="AA6" s="26" t="s">
        <v>70</v>
      </c>
      <c r="AB6" s="25" t="s">
        <v>45</v>
      </c>
      <c r="AC6" s="95"/>
      <c r="AD6" s="80" t="s">
        <v>177</v>
      </c>
      <c r="AE6" s="81" t="s">
        <v>178</v>
      </c>
      <c r="AF6" s="25" t="s">
        <v>45</v>
      </c>
      <c r="AG6" s="95"/>
      <c r="AH6" s="89"/>
      <c r="AI6" s="92"/>
      <c r="AJ6" s="113"/>
      <c r="AK6" s="116"/>
    </row>
    <row r="7" spans="1:37" ht="12.75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7">
        <v>9</v>
      </c>
      <c r="J7" s="27">
        <v>10</v>
      </c>
      <c r="K7" s="27">
        <v>11</v>
      </c>
      <c r="L7" s="27">
        <v>12</v>
      </c>
      <c r="M7" s="27">
        <v>13</v>
      </c>
      <c r="N7" s="27">
        <v>14</v>
      </c>
      <c r="O7" s="27">
        <v>15</v>
      </c>
      <c r="P7" s="27">
        <v>16</v>
      </c>
      <c r="Q7" s="27">
        <v>17</v>
      </c>
      <c r="R7" s="27">
        <v>18</v>
      </c>
      <c r="S7" s="27">
        <v>19</v>
      </c>
      <c r="T7" s="27">
        <v>20</v>
      </c>
      <c r="U7" s="27">
        <v>21</v>
      </c>
      <c r="V7" s="27">
        <v>22</v>
      </c>
      <c r="W7" s="27">
        <v>23</v>
      </c>
      <c r="X7" s="27">
        <v>24</v>
      </c>
      <c r="Y7" s="27">
        <v>25</v>
      </c>
      <c r="Z7" s="27">
        <v>26</v>
      </c>
      <c r="AA7" s="27">
        <v>27</v>
      </c>
      <c r="AB7" s="27">
        <v>28</v>
      </c>
      <c r="AC7" s="27">
        <v>29</v>
      </c>
      <c r="AD7" s="27">
        <v>30</v>
      </c>
      <c r="AE7" s="27">
        <v>31</v>
      </c>
      <c r="AF7" s="27">
        <v>32</v>
      </c>
      <c r="AG7" s="27">
        <v>33</v>
      </c>
      <c r="AH7" s="27">
        <v>34</v>
      </c>
      <c r="AI7" s="27">
        <v>35</v>
      </c>
      <c r="AJ7" s="27">
        <v>36</v>
      </c>
      <c r="AK7" s="27">
        <v>37</v>
      </c>
    </row>
    <row r="8" spans="1:37" ht="12.75">
      <c r="A8" s="1" t="s">
        <v>46</v>
      </c>
      <c r="B8" s="6" t="s">
        <v>108</v>
      </c>
      <c r="C8" s="4">
        <v>1</v>
      </c>
      <c r="D8" s="5">
        <v>11.8</v>
      </c>
      <c r="E8" s="5">
        <f aca="true" t="shared" si="0" ref="E8:E13">C8*D8</f>
        <v>11.8</v>
      </c>
      <c r="F8" s="73">
        <v>0</v>
      </c>
      <c r="G8" s="73">
        <v>0</v>
      </c>
      <c r="H8" s="6">
        <v>0</v>
      </c>
      <c r="I8" s="4">
        <v>1</v>
      </c>
      <c r="J8" s="5">
        <v>17.6</v>
      </c>
      <c r="K8" s="5">
        <f aca="true" t="shared" si="1" ref="K8:K13">I8*J8</f>
        <v>17.6</v>
      </c>
      <c r="L8" s="82">
        <v>61</v>
      </c>
      <c r="M8" s="82">
        <v>3322</v>
      </c>
      <c r="N8" s="5">
        <f aca="true" t="shared" si="2" ref="N8:N13">100*L8/M8</f>
        <v>1.8362432269717037</v>
      </c>
      <c r="O8" s="5">
        <v>0.5</v>
      </c>
      <c r="P8" s="5">
        <v>17.6</v>
      </c>
      <c r="Q8" s="5">
        <f aca="true" t="shared" si="3" ref="Q8:Q13">O8*P8</f>
        <v>8.8</v>
      </c>
      <c r="R8" s="5">
        <v>0</v>
      </c>
      <c r="S8" s="5">
        <v>1</v>
      </c>
      <c r="T8" s="5">
        <v>17.7</v>
      </c>
      <c r="U8" s="5">
        <f aca="true" t="shared" si="4" ref="U8:U13">S8*T8</f>
        <v>17.7</v>
      </c>
      <c r="V8" s="6" t="s">
        <v>82</v>
      </c>
      <c r="W8" s="4">
        <v>1</v>
      </c>
      <c r="X8" s="5">
        <v>11.8</v>
      </c>
      <c r="Y8" s="5">
        <f aca="true" t="shared" si="5" ref="Y8:Y13">W8*X8</f>
        <v>11.8</v>
      </c>
      <c r="Z8" s="49" t="s">
        <v>82</v>
      </c>
      <c r="AA8" s="50">
        <v>1</v>
      </c>
      <c r="AB8" s="5">
        <v>23.5</v>
      </c>
      <c r="AC8" s="5">
        <f aca="true" t="shared" si="6" ref="AC8:AC13">AA8*AB8</f>
        <v>23.5</v>
      </c>
      <c r="AD8" s="5"/>
      <c r="AE8" s="5"/>
      <c r="AF8" s="5"/>
      <c r="AG8" s="5">
        <f aca="true" t="shared" si="7" ref="AG8:AG13">AE8*AF8</f>
        <v>0</v>
      </c>
      <c r="AH8" s="5">
        <f aca="true" t="shared" si="8" ref="AH8:AH13">D8+J8+P8+T8+X8+AB8+AF8</f>
        <v>100</v>
      </c>
      <c r="AI8" s="5">
        <f aca="true" t="shared" si="9" ref="AI8:AI13">E8+K8+Q8+U8+Y8+AC8</f>
        <v>91.2</v>
      </c>
      <c r="AJ8" s="5">
        <v>15</v>
      </c>
      <c r="AK8" s="5">
        <f aca="true" t="shared" si="10" ref="AK8:AK13">(AI8*AJ8)/100</f>
        <v>13.68</v>
      </c>
    </row>
    <row r="9" spans="1:37" ht="12.75">
      <c r="A9" s="1" t="s">
        <v>136</v>
      </c>
      <c r="B9" s="6" t="s">
        <v>108</v>
      </c>
      <c r="C9" s="4">
        <v>1</v>
      </c>
      <c r="D9" s="5">
        <v>15.4</v>
      </c>
      <c r="E9" s="5">
        <f t="shared" si="0"/>
        <v>15.4</v>
      </c>
      <c r="F9" s="73">
        <v>0</v>
      </c>
      <c r="G9" s="73">
        <v>0</v>
      </c>
      <c r="H9" s="6">
        <v>0</v>
      </c>
      <c r="I9" s="4">
        <v>1</v>
      </c>
      <c r="J9" s="5">
        <v>23</v>
      </c>
      <c r="K9" s="5">
        <f t="shared" si="1"/>
        <v>23</v>
      </c>
      <c r="L9" s="82"/>
      <c r="M9" s="82">
        <v>240</v>
      </c>
      <c r="N9" s="5">
        <f t="shared" si="2"/>
        <v>0</v>
      </c>
      <c r="O9" s="5">
        <v>1</v>
      </c>
      <c r="P9" s="5">
        <v>23.1</v>
      </c>
      <c r="Q9" s="5">
        <f t="shared" si="3"/>
        <v>23.1</v>
      </c>
      <c r="R9" s="5">
        <v>0</v>
      </c>
      <c r="S9" s="5">
        <v>1</v>
      </c>
      <c r="T9" s="5">
        <v>23.1</v>
      </c>
      <c r="U9" s="5">
        <f t="shared" si="4"/>
        <v>23.1</v>
      </c>
      <c r="V9" s="6" t="s">
        <v>82</v>
      </c>
      <c r="W9" s="4">
        <v>1</v>
      </c>
      <c r="X9" s="5">
        <v>15.4</v>
      </c>
      <c r="Y9" s="5">
        <f t="shared" si="5"/>
        <v>15.4</v>
      </c>
      <c r="Z9" s="50"/>
      <c r="AA9" s="50"/>
      <c r="AB9" s="5"/>
      <c r="AC9" s="5"/>
      <c r="AD9" s="5"/>
      <c r="AE9" s="5"/>
      <c r="AF9" s="5"/>
      <c r="AG9" s="5">
        <f t="shared" si="7"/>
        <v>0</v>
      </c>
      <c r="AH9" s="5">
        <f t="shared" si="8"/>
        <v>100</v>
      </c>
      <c r="AI9" s="5">
        <f t="shared" si="9"/>
        <v>100</v>
      </c>
      <c r="AJ9" s="5">
        <v>16.1</v>
      </c>
      <c r="AK9" s="5">
        <f t="shared" si="10"/>
        <v>16.1</v>
      </c>
    </row>
    <row r="10" spans="1:37" ht="12.75">
      <c r="A10" s="1" t="s">
        <v>49</v>
      </c>
      <c r="B10" s="6" t="s">
        <v>108</v>
      </c>
      <c r="C10" s="4">
        <v>1</v>
      </c>
      <c r="D10" s="5">
        <v>15.4</v>
      </c>
      <c r="E10" s="5">
        <f t="shared" si="0"/>
        <v>15.4</v>
      </c>
      <c r="F10" s="73">
        <v>0</v>
      </c>
      <c r="G10" s="73">
        <v>0</v>
      </c>
      <c r="H10" s="6">
        <v>0</v>
      </c>
      <c r="I10" s="4">
        <v>1</v>
      </c>
      <c r="J10" s="5">
        <v>23</v>
      </c>
      <c r="K10" s="5">
        <f t="shared" si="1"/>
        <v>23</v>
      </c>
      <c r="L10" s="82">
        <v>3</v>
      </c>
      <c r="M10" s="82">
        <v>323</v>
      </c>
      <c r="N10" s="5">
        <f t="shared" si="2"/>
        <v>0.9287925696594427</v>
      </c>
      <c r="O10" s="5">
        <v>0.5</v>
      </c>
      <c r="P10" s="5">
        <v>23.1</v>
      </c>
      <c r="Q10" s="5">
        <f t="shared" si="3"/>
        <v>11.55</v>
      </c>
      <c r="R10" s="5">
        <v>0</v>
      </c>
      <c r="S10" s="5">
        <v>1</v>
      </c>
      <c r="T10" s="5">
        <v>23.1</v>
      </c>
      <c r="U10" s="5">
        <f t="shared" si="4"/>
        <v>23.1</v>
      </c>
      <c r="V10" s="6" t="s">
        <v>82</v>
      </c>
      <c r="W10" s="4">
        <v>1</v>
      </c>
      <c r="X10" s="5">
        <v>15.4</v>
      </c>
      <c r="Y10" s="5">
        <f t="shared" si="5"/>
        <v>15.4</v>
      </c>
      <c r="Z10" s="49"/>
      <c r="AA10" s="50"/>
      <c r="AB10" s="5"/>
      <c r="AC10" s="5"/>
      <c r="AD10" s="5"/>
      <c r="AE10" s="5"/>
      <c r="AF10" s="5"/>
      <c r="AG10" s="5">
        <f t="shared" si="7"/>
        <v>0</v>
      </c>
      <c r="AH10" s="5">
        <f t="shared" si="8"/>
        <v>100</v>
      </c>
      <c r="AI10" s="5">
        <f t="shared" si="9"/>
        <v>88.45000000000002</v>
      </c>
      <c r="AJ10" s="5">
        <v>16.1</v>
      </c>
      <c r="AK10" s="5">
        <f t="shared" si="10"/>
        <v>14.240450000000003</v>
      </c>
    </row>
    <row r="11" spans="1:37" ht="12.75">
      <c r="A11" s="1" t="s">
        <v>50</v>
      </c>
      <c r="B11" s="6" t="s">
        <v>108</v>
      </c>
      <c r="C11" s="4">
        <v>1</v>
      </c>
      <c r="D11" s="5">
        <v>11.8</v>
      </c>
      <c r="E11" s="5">
        <f t="shared" si="0"/>
        <v>11.8</v>
      </c>
      <c r="F11" s="82">
        <v>0</v>
      </c>
      <c r="G11" s="82">
        <v>0</v>
      </c>
      <c r="H11" s="6">
        <f>100*(F11-G11)*F11</f>
        <v>0</v>
      </c>
      <c r="I11" s="15">
        <v>0</v>
      </c>
      <c r="J11" s="5">
        <v>17.6</v>
      </c>
      <c r="K11" s="5">
        <f t="shared" si="1"/>
        <v>0</v>
      </c>
      <c r="L11" s="82">
        <v>58</v>
      </c>
      <c r="M11" s="82">
        <v>581</v>
      </c>
      <c r="N11" s="5">
        <f t="shared" si="2"/>
        <v>9.982788296041308</v>
      </c>
      <c r="O11" s="5">
        <v>0.2</v>
      </c>
      <c r="P11" s="5">
        <v>17.6</v>
      </c>
      <c r="Q11" s="5">
        <f t="shared" si="3"/>
        <v>3.5200000000000005</v>
      </c>
      <c r="R11" s="5">
        <v>0</v>
      </c>
      <c r="S11" s="5">
        <v>1</v>
      </c>
      <c r="T11" s="5">
        <v>17.7</v>
      </c>
      <c r="U11" s="5">
        <f t="shared" si="4"/>
        <v>17.7</v>
      </c>
      <c r="V11" s="6" t="s">
        <v>82</v>
      </c>
      <c r="W11" s="4">
        <v>1</v>
      </c>
      <c r="X11" s="5">
        <v>11.8</v>
      </c>
      <c r="Y11" s="5">
        <f t="shared" si="5"/>
        <v>11.8</v>
      </c>
      <c r="Z11" s="49" t="s">
        <v>82</v>
      </c>
      <c r="AA11" s="50">
        <v>1</v>
      </c>
      <c r="AB11" s="5">
        <v>23.5</v>
      </c>
      <c r="AC11" s="5">
        <f t="shared" si="6"/>
        <v>23.5</v>
      </c>
      <c r="AD11" s="5"/>
      <c r="AE11" s="5"/>
      <c r="AF11" s="5"/>
      <c r="AG11" s="5">
        <f t="shared" si="7"/>
        <v>0</v>
      </c>
      <c r="AH11" s="5">
        <f t="shared" si="8"/>
        <v>100</v>
      </c>
      <c r="AI11" s="5">
        <f t="shared" si="9"/>
        <v>68.32</v>
      </c>
      <c r="AJ11" s="5">
        <v>15</v>
      </c>
      <c r="AK11" s="5">
        <f t="shared" si="10"/>
        <v>10.248</v>
      </c>
    </row>
    <row r="12" spans="1:37" ht="12.75">
      <c r="A12" s="1" t="s">
        <v>47</v>
      </c>
      <c r="B12" s="6" t="s">
        <v>108</v>
      </c>
      <c r="C12" s="4">
        <v>1</v>
      </c>
      <c r="D12" s="5">
        <v>11.8</v>
      </c>
      <c r="E12" s="5">
        <f t="shared" si="0"/>
        <v>11.8</v>
      </c>
      <c r="F12" s="82">
        <v>0</v>
      </c>
      <c r="G12" s="82">
        <v>0</v>
      </c>
      <c r="H12" s="6">
        <v>0</v>
      </c>
      <c r="I12" s="4">
        <v>1</v>
      </c>
      <c r="J12" s="5">
        <v>17.6</v>
      </c>
      <c r="K12" s="5">
        <f t="shared" si="1"/>
        <v>17.6</v>
      </c>
      <c r="L12" s="82">
        <v>30</v>
      </c>
      <c r="M12" s="82">
        <v>3534</v>
      </c>
      <c r="N12" s="5">
        <f t="shared" si="2"/>
        <v>0.8488964346349746</v>
      </c>
      <c r="O12" s="5">
        <v>0.5</v>
      </c>
      <c r="P12" s="5">
        <v>17.6</v>
      </c>
      <c r="Q12" s="5">
        <f t="shared" si="3"/>
        <v>8.8</v>
      </c>
      <c r="R12" s="5">
        <v>0</v>
      </c>
      <c r="S12" s="5">
        <v>1</v>
      </c>
      <c r="T12" s="5">
        <v>17.7</v>
      </c>
      <c r="U12" s="5">
        <f t="shared" si="4"/>
        <v>17.7</v>
      </c>
      <c r="V12" s="6" t="s">
        <v>82</v>
      </c>
      <c r="W12" s="4">
        <v>1</v>
      </c>
      <c r="X12" s="5">
        <v>11.8</v>
      </c>
      <c r="Y12" s="5">
        <f t="shared" si="5"/>
        <v>11.8</v>
      </c>
      <c r="Z12" s="49" t="s">
        <v>82</v>
      </c>
      <c r="AA12" s="50">
        <v>1</v>
      </c>
      <c r="AB12" s="5">
        <v>23.5</v>
      </c>
      <c r="AC12" s="5">
        <f t="shared" si="6"/>
        <v>23.5</v>
      </c>
      <c r="AD12" s="5"/>
      <c r="AE12" s="5"/>
      <c r="AF12" s="5"/>
      <c r="AG12" s="5">
        <f t="shared" si="7"/>
        <v>0</v>
      </c>
      <c r="AH12" s="5">
        <f t="shared" si="8"/>
        <v>100</v>
      </c>
      <c r="AI12" s="5">
        <f t="shared" si="9"/>
        <v>91.2</v>
      </c>
      <c r="AJ12" s="5">
        <v>15</v>
      </c>
      <c r="AK12" s="5">
        <f t="shared" si="10"/>
        <v>13.68</v>
      </c>
    </row>
    <row r="13" spans="1:37" ht="12.75">
      <c r="A13" s="1" t="s">
        <v>48</v>
      </c>
      <c r="B13" s="6" t="s">
        <v>108</v>
      </c>
      <c r="C13" s="4">
        <v>1</v>
      </c>
      <c r="D13" s="5">
        <v>11.8</v>
      </c>
      <c r="E13" s="5">
        <f t="shared" si="0"/>
        <v>11.8</v>
      </c>
      <c r="F13" s="73">
        <v>0</v>
      </c>
      <c r="G13" s="73">
        <v>0</v>
      </c>
      <c r="H13" s="6">
        <v>0</v>
      </c>
      <c r="I13" s="4">
        <v>1</v>
      </c>
      <c r="J13" s="5">
        <v>17.6</v>
      </c>
      <c r="K13" s="5">
        <f t="shared" si="1"/>
        <v>17.6</v>
      </c>
      <c r="L13" s="82"/>
      <c r="M13" s="82">
        <v>2318</v>
      </c>
      <c r="N13" s="5">
        <f t="shared" si="2"/>
        <v>0</v>
      </c>
      <c r="O13" s="5">
        <v>1</v>
      </c>
      <c r="P13" s="5">
        <v>17.6</v>
      </c>
      <c r="Q13" s="5">
        <f t="shared" si="3"/>
        <v>17.6</v>
      </c>
      <c r="R13" s="5">
        <v>0</v>
      </c>
      <c r="S13" s="5">
        <v>1</v>
      </c>
      <c r="T13" s="5">
        <v>17.7</v>
      </c>
      <c r="U13" s="5">
        <f t="shared" si="4"/>
        <v>17.7</v>
      </c>
      <c r="V13" s="6" t="s">
        <v>82</v>
      </c>
      <c r="W13" s="4">
        <v>1</v>
      </c>
      <c r="X13" s="5">
        <v>11.8</v>
      </c>
      <c r="Y13" s="5">
        <f t="shared" si="5"/>
        <v>11.8</v>
      </c>
      <c r="Z13" s="49" t="s">
        <v>82</v>
      </c>
      <c r="AA13" s="50">
        <v>1</v>
      </c>
      <c r="AB13" s="5">
        <v>23.5</v>
      </c>
      <c r="AC13" s="5">
        <f t="shared" si="6"/>
        <v>23.5</v>
      </c>
      <c r="AD13" s="5"/>
      <c r="AE13" s="5"/>
      <c r="AF13" s="5"/>
      <c r="AG13" s="5">
        <f t="shared" si="7"/>
        <v>0</v>
      </c>
      <c r="AH13" s="5">
        <f t="shared" si="8"/>
        <v>100</v>
      </c>
      <c r="AI13" s="5">
        <f t="shared" si="9"/>
        <v>100</v>
      </c>
      <c r="AJ13" s="5">
        <v>15</v>
      </c>
      <c r="AK13" s="5">
        <f t="shared" si="10"/>
        <v>15</v>
      </c>
    </row>
    <row r="14" spans="1:37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7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37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</sheetData>
  <sheetProtection/>
  <mergeCells count="20">
    <mergeCell ref="AK5:AK6"/>
    <mergeCell ref="Z5:AB5"/>
    <mergeCell ref="K5:K6"/>
    <mergeCell ref="AC5:AC6"/>
    <mergeCell ref="AH5:AH6"/>
    <mergeCell ref="AI5:AI6"/>
    <mergeCell ref="AJ5:AJ6"/>
    <mergeCell ref="L5:P5"/>
    <mergeCell ref="AD5:AF5"/>
    <mergeCell ref="AG5:AG6"/>
    <mergeCell ref="F5:J5"/>
    <mergeCell ref="A4:A6"/>
    <mergeCell ref="B5:D5"/>
    <mergeCell ref="B4:AC4"/>
    <mergeCell ref="V5:X5"/>
    <mergeCell ref="Y5:Y6"/>
    <mergeCell ref="E5:E6"/>
    <mergeCell ref="Q5:Q6"/>
    <mergeCell ref="R5:T5"/>
    <mergeCell ref="U5:U6"/>
  </mergeCells>
  <printOptions/>
  <pageMargins left="0.1968503937007874" right="0.1968503937007874" top="0.1968503937007874" bottom="0.1968503937007874" header="0.5118110236220472" footer="0.5118110236220472"/>
  <pageSetup fitToHeight="0" fitToWidth="0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AC23"/>
  <sheetViews>
    <sheetView tabSelected="1" view="pageBreakPreview" zoomScaleNormal="75" zoomScaleSheetLayoutView="100" zoomScalePageLayoutView="0" workbookViewId="0" topLeftCell="A4">
      <pane xSplit="1" ySplit="3" topLeftCell="J7" activePane="bottomRight" state="frozen"/>
      <selection pane="topLeft" activeCell="A4" sqref="A4"/>
      <selection pane="topRight" activeCell="B4" sqref="B4"/>
      <selection pane="bottomLeft" activeCell="A7" sqref="A7"/>
      <selection pane="bottomRight" activeCell="W14" sqref="W14"/>
    </sheetView>
  </sheetViews>
  <sheetFormatPr defaultColWidth="9.00390625" defaultRowHeight="12.75"/>
  <cols>
    <col min="1" max="1" width="24.875" style="0" bestFit="1" customWidth="1"/>
    <col min="2" max="2" width="15.00390625" style="0" customWidth="1"/>
    <col min="3" max="3" width="14.00390625" style="0" customWidth="1"/>
    <col min="4" max="4" width="11.375" style="0" customWidth="1"/>
    <col min="5" max="5" width="17.875" style="0" customWidth="1"/>
    <col min="6" max="6" width="6.75390625" style="0" customWidth="1"/>
    <col min="7" max="7" width="8.75390625" style="0" customWidth="1"/>
    <col min="8" max="8" width="14.375" style="0" customWidth="1"/>
    <col min="9" max="9" width="13.875" style="0" bestFit="1" customWidth="1"/>
    <col min="10" max="10" width="12.00390625" style="0" customWidth="1"/>
    <col min="11" max="11" width="17.75390625" style="0" customWidth="1"/>
    <col min="12" max="12" width="7.75390625" style="0" customWidth="1"/>
    <col min="13" max="13" width="8.375" style="0" customWidth="1"/>
    <col min="14" max="14" width="17.25390625" style="0" bestFit="1" customWidth="1"/>
    <col min="15" max="15" width="17.625" style="0" bestFit="1" customWidth="1"/>
    <col min="16" max="16" width="12.00390625" style="0" customWidth="1"/>
    <col min="17" max="17" width="17.00390625" style="0" customWidth="1"/>
    <col min="18" max="18" width="7.75390625" style="0" customWidth="1"/>
    <col min="19" max="19" width="8.25390625" style="0" customWidth="1"/>
    <col min="20" max="20" width="13.75390625" style="0" bestFit="1" customWidth="1"/>
    <col min="21" max="21" width="10.625" style="0" customWidth="1"/>
    <col min="22" max="22" width="11.375" style="0" bestFit="1" customWidth="1"/>
    <col min="23" max="23" width="14.375" style="0" customWidth="1"/>
    <col min="24" max="24" width="8.00390625" style="0" customWidth="1"/>
    <col min="25" max="25" width="8.375" style="0" customWidth="1"/>
    <col min="26" max="26" width="8.625" style="0" customWidth="1"/>
    <col min="27" max="27" width="10.375" style="0" customWidth="1"/>
    <col min="28" max="28" width="8.375" style="0" customWidth="1"/>
    <col min="29" max="29" width="8.75390625" style="0" customWidth="1"/>
  </cols>
  <sheetData>
    <row r="4" spans="1:29" ht="12.75">
      <c r="A4" s="139" t="s">
        <v>44</v>
      </c>
      <c r="B4" s="108" t="s">
        <v>71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10"/>
      <c r="Z4" s="41"/>
      <c r="AA4" s="41"/>
      <c r="AB4" s="41"/>
      <c r="AC4" s="41"/>
    </row>
    <row r="5" spans="1:29" ht="27.75" customHeight="1">
      <c r="A5" s="139"/>
      <c r="B5" s="145" t="s">
        <v>72</v>
      </c>
      <c r="C5" s="146"/>
      <c r="D5" s="146"/>
      <c r="E5" s="146"/>
      <c r="F5" s="146"/>
      <c r="G5" s="117" t="s">
        <v>56</v>
      </c>
      <c r="H5" s="108" t="s">
        <v>119</v>
      </c>
      <c r="I5" s="109"/>
      <c r="J5" s="109"/>
      <c r="K5" s="109"/>
      <c r="L5" s="110"/>
      <c r="M5" s="96" t="s">
        <v>56</v>
      </c>
      <c r="N5" s="117" t="s">
        <v>98</v>
      </c>
      <c r="O5" s="117"/>
      <c r="P5" s="117"/>
      <c r="Q5" s="117"/>
      <c r="R5" s="117"/>
      <c r="S5" s="117" t="s">
        <v>56</v>
      </c>
      <c r="T5" s="148" t="s">
        <v>101</v>
      </c>
      <c r="U5" s="149"/>
      <c r="V5" s="149"/>
      <c r="W5" s="149"/>
      <c r="X5" s="150"/>
      <c r="Y5" s="97" t="s">
        <v>56</v>
      </c>
      <c r="Z5" s="87" t="s">
        <v>58</v>
      </c>
      <c r="AA5" s="90" t="s">
        <v>57</v>
      </c>
      <c r="AB5" s="111" t="s">
        <v>88</v>
      </c>
      <c r="AC5" s="114" t="s">
        <v>51</v>
      </c>
    </row>
    <row r="6" spans="1:29" ht="278.25" customHeight="1">
      <c r="A6" s="139"/>
      <c r="B6" s="22" t="s">
        <v>31</v>
      </c>
      <c r="C6" s="22" t="s">
        <v>32</v>
      </c>
      <c r="D6" s="22" t="s">
        <v>97</v>
      </c>
      <c r="E6" s="37" t="s">
        <v>118</v>
      </c>
      <c r="F6" s="46" t="s">
        <v>45</v>
      </c>
      <c r="G6" s="117"/>
      <c r="H6" s="35" t="s">
        <v>120</v>
      </c>
      <c r="I6" s="35" t="s">
        <v>121</v>
      </c>
      <c r="J6" s="35" t="s">
        <v>122</v>
      </c>
      <c r="K6" s="37" t="s">
        <v>133</v>
      </c>
      <c r="L6" s="48" t="s">
        <v>45</v>
      </c>
      <c r="M6" s="95"/>
      <c r="N6" s="47" t="s">
        <v>99</v>
      </c>
      <c r="O6" s="47" t="s">
        <v>100</v>
      </c>
      <c r="P6" s="22" t="s">
        <v>33</v>
      </c>
      <c r="Q6" s="26" t="s">
        <v>123</v>
      </c>
      <c r="R6" s="25" t="s">
        <v>45</v>
      </c>
      <c r="S6" s="117"/>
      <c r="T6" s="22" t="s">
        <v>34</v>
      </c>
      <c r="U6" s="22" t="s">
        <v>35</v>
      </c>
      <c r="V6" s="22" t="s">
        <v>36</v>
      </c>
      <c r="W6" s="37" t="s">
        <v>102</v>
      </c>
      <c r="X6" s="25" t="s">
        <v>45</v>
      </c>
      <c r="Y6" s="95"/>
      <c r="Z6" s="89"/>
      <c r="AA6" s="92"/>
      <c r="AB6" s="113"/>
      <c r="AC6" s="116"/>
    </row>
    <row r="7" spans="1:29" ht="12.75">
      <c r="A7" s="27">
        <v>1</v>
      </c>
      <c r="B7" s="38">
        <v>2</v>
      </c>
      <c r="C7" s="38">
        <v>3</v>
      </c>
      <c r="D7" s="27">
        <v>4</v>
      </c>
      <c r="E7" s="27">
        <v>5</v>
      </c>
      <c r="F7" s="38">
        <v>6</v>
      </c>
      <c r="G7" s="38">
        <v>7</v>
      </c>
      <c r="H7" s="27">
        <v>8</v>
      </c>
      <c r="I7" s="27">
        <v>9</v>
      </c>
      <c r="J7" s="38">
        <v>10</v>
      </c>
      <c r="K7" s="38">
        <v>11</v>
      </c>
      <c r="L7" s="27">
        <v>12</v>
      </c>
      <c r="M7" s="27">
        <v>13</v>
      </c>
      <c r="N7" s="38">
        <v>14</v>
      </c>
      <c r="O7" s="38">
        <v>15</v>
      </c>
      <c r="P7" s="27">
        <v>16</v>
      </c>
      <c r="Q7" s="27">
        <v>17</v>
      </c>
      <c r="R7" s="38">
        <v>18</v>
      </c>
      <c r="S7" s="38">
        <v>19</v>
      </c>
      <c r="T7" s="27">
        <v>20</v>
      </c>
      <c r="U7" s="27">
        <v>21</v>
      </c>
      <c r="V7" s="38">
        <v>22</v>
      </c>
      <c r="W7" s="38">
        <v>23</v>
      </c>
      <c r="X7" s="27">
        <v>24</v>
      </c>
      <c r="Y7" s="27">
        <v>25</v>
      </c>
      <c r="Z7" s="38">
        <v>26</v>
      </c>
      <c r="AA7" s="38">
        <v>27</v>
      </c>
      <c r="AB7" s="27">
        <v>28</v>
      </c>
      <c r="AC7" s="27">
        <v>29</v>
      </c>
    </row>
    <row r="8" spans="1:29" ht="12.75">
      <c r="A8" s="1" t="s">
        <v>46</v>
      </c>
      <c r="B8" s="9">
        <v>0</v>
      </c>
      <c r="C8" s="1">
        <v>0</v>
      </c>
      <c r="D8" s="6" t="e">
        <f aca="true" t="shared" si="0" ref="D8:D13">100*(B8/C8)</f>
        <v>#DIV/0!</v>
      </c>
      <c r="E8" s="4">
        <v>1</v>
      </c>
      <c r="F8" s="5">
        <v>33.3</v>
      </c>
      <c r="G8" s="5">
        <f aca="true" t="shared" si="1" ref="G8:G13">E8*F8</f>
        <v>33.3</v>
      </c>
      <c r="H8" s="5">
        <v>0</v>
      </c>
      <c r="I8" s="5">
        <v>0</v>
      </c>
      <c r="J8" s="6" t="e">
        <f aca="true" t="shared" si="2" ref="J8:J13">100*(H8/I8)</f>
        <v>#DIV/0!</v>
      </c>
      <c r="K8" s="4">
        <v>1</v>
      </c>
      <c r="L8" s="5">
        <v>33.3</v>
      </c>
      <c r="M8" s="5">
        <f aca="true" t="shared" si="3" ref="M8:M13">K8*L8</f>
        <v>33.3</v>
      </c>
      <c r="N8" s="5">
        <v>0</v>
      </c>
      <c r="O8" s="5">
        <v>0</v>
      </c>
      <c r="P8" s="6" t="e">
        <f aca="true" t="shared" si="4" ref="P8:P13">100*(N8/O8)</f>
        <v>#DIV/0!</v>
      </c>
      <c r="Q8" s="4">
        <v>1</v>
      </c>
      <c r="R8" s="5">
        <v>0</v>
      </c>
      <c r="S8" s="5">
        <f aca="true" t="shared" si="5" ref="S8:S13">Q8*R8</f>
        <v>0</v>
      </c>
      <c r="T8" s="5">
        <v>0</v>
      </c>
      <c r="U8" s="83">
        <v>377797.8</v>
      </c>
      <c r="V8" s="6">
        <f aca="true" t="shared" si="6" ref="V8:V13">100*(T8/U8)</f>
        <v>0</v>
      </c>
      <c r="W8" s="4">
        <v>1</v>
      </c>
      <c r="X8" s="5">
        <v>33.4</v>
      </c>
      <c r="Y8" s="5">
        <f aca="true" t="shared" si="7" ref="Y8:Y13">W8*X8</f>
        <v>33.4</v>
      </c>
      <c r="Z8" s="5">
        <f aca="true" t="shared" si="8" ref="Z8:Z13">X8+R8+L8+F8</f>
        <v>99.99999999999999</v>
      </c>
      <c r="AA8" s="5">
        <f aca="true" t="shared" si="9" ref="AA8:AA13">Y8+S8++M8+G8</f>
        <v>99.99999999999999</v>
      </c>
      <c r="AB8" s="5">
        <v>7</v>
      </c>
      <c r="AC8" s="5">
        <f aca="true" t="shared" si="10" ref="AC8:AC13">(AA8*AB8)/100</f>
        <v>6.999999999999999</v>
      </c>
    </row>
    <row r="9" spans="1:29" ht="12.75">
      <c r="A9" s="1" t="s">
        <v>136</v>
      </c>
      <c r="B9" s="9">
        <v>0</v>
      </c>
      <c r="C9" s="1">
        <v>0</v>
      </c>
      <c r="D9" s="6" t="e">
        <f t="shared" si="0"/>
        <v>#DIV/0!</v>
      </c>
      <c r="E9" s="4">
        <v>1</v>
      </c>
      <c r="F9" s="5">
        <v>33.3</v>
      </c>
      <c r="G9" s="5">
        <f t="shared" si="1"/>
        <v>33.3</v>
      </c>
      <c r="H9" s="5">
        <v>0</v>
      </c>
      <c r="I9" s="5">
        <v>0</v>
      </c>
      <c r="J9" s="6" t="e">
        <f t="shared" si="2"/>
        <v>#DIV/0!</v>
      </c>
      <c r="K9" s="4">
        <v>1</v>
      </c>
      <c r="L9" s="5">
        <v>33.3</v>
      </c>
      <c r="M9" s="5">
        <f t="shared" si="3"/>
        <v>33.3</v>
      </c>
      <c r="N9" s="5">
        <v>0</v>
      </c>
      <c r="O9" s="5">
        <v>0</v>
      </c>
      <c r="P9" s="6" t="e">
        <f t="shared" si="4"/>
        <v>#DIV/0!</v>
      </c>
      <c r="Q9" s="4">
        <v>1</v>
      </c>
      <c r="R9" s="5">
        <v>0</v>
      </c>
      <c r="S9" s="5">
        <f t="shared" si="5"/>
        <v>0</v>
      </c>
      <c r="T9" s="5">
        <v>0</v>
      </c>
      <c r="U9" s="83">
        <v>1067.5</v>
      </c>
      <c r="V9" s="6">
        <f t="shared" si="6"/>
        <v>0</v>
      </c>
      <c r="W9" s="4">
        <v>1</v>
      </c>
      <c r="X9" s="5">
        <v>33.4</v>
      </c>
      <c r="Y9" s="5">
        <f t="shared" si="7"/>
        <v>33.4</v>
      </c>
      <c r="Z9" s="5">
        <f t="shared" si="8"/>
        <v>99.99999999999999</v>
      </c>
      <c r="AA9" s="5">
        <f t="shared" si="9"/>
        <v>99.99999999999999</v>
      </c>
      <c r="AB9" s="5">
        <v>7.6</v>
      </c>
      <c r="AC9" s="5">
        <f t="shared" si="10"/>
        <v>7.599999999999999</v>
      </c>
    </row>
    <row r="10" spans="1:29" ht="12.75">
      <c r="A10" s="1" t="s">
        <v>49</v>
      </c>
      <c r="B10" s="9">
        <v>0</v>
      </c>
      <c r="C10" s="1">
        <v>0</v>
      </c>
      <c r="D10" s="6" t="e">
        <f t="shared" si="0"/>
        <v>#DIV/0!</v>
      </c>
      <c r="E10" s="4">
        <v>1</v>
      </c>
      <c r="F10" s="5">
        <v>33.3</v>
      </c>
      <c r="G10" s="5">
        <f t="shared" si="1"/>
        <v>33.3</v>
      </c>
      <c r="H10" s="5">
        <v>0</v>
      </c>
      <c r="I10" s="5">
        <v>0</v>
      </c>
      <c r="J10" s="6" t="e">
        <f t="shared" si="2"/>
        <v>#DIV/0!</v>
      </c>
      <c r="K10" s="4">
        <v>1</v>
      </c>
      <c r="L10" s="5">
        <v>33.3</v>
      </c>
      <c r="M10" s="5">
        <f t="shared" si="3"/>
        <v>33.3</v>
      </c>
      <c r="N10" s="5">
        <v>0</v>
      </c>
      <c r="O10" s="5">
        <v>0</v>
      </c>
      <c r="P10" s="6" t="e">
        <f t="shared" si="4"/>
        <v>#DIV/0!</v>
      </c>
      <c r="Q10" s="4">
        <v>1</v>
      </c>
      <c r="R10" s="5">
        <v>0</v>
      </c>
      <c r="S10" s="5">
        <f t="shared" si="5"/>
        <v>0</v>
      </c>
      <c r="T10" s="5">
        <v>0</v>
      </c>
      <c r="U10" s="83">
        <v>7216.9</v>
      </c>
      <c r="V10" s="6">
        <f t="shared" si="6"/>
        <v>0</v>
      </c>
      <c r="W10" s="4">
        <v>1</v>
      </c>
      <c r="X10" s="5">
        <v>33.4</v>
      </c>
      <c r="Y10" s="5">
        <f t="shared" si="7"/>
        <v>33.4</v>
      </c>
      <c r="Z10" s="5">
        <f t="shared" si="8"/>
        <v>99.99999999999999</v>
      </c>
      <c r="AA10" s="5">
        <f t="shared" si="9"/>
        <v>99.99999999999999</v>
      </c>
      <c r="AB10" s="5">
        <v>7.6</v>
      </c>
      <c r="AC10" s="5">
        <f t="shared" si="10"/>
        <v>7.599999999999999</v>
      </c>
    </row>
    <row r="11" spans="1:29" ht="12.75">
      <c r="A11" s="1" t="s">
        <v>50</v>
      </c>
      <c r="B11" s="9">
        <v>0</v>
      </c>
      <c r="C11" s="1">
        <v>0</v>
      </c>
      <c r="D11" s="6" t="e">
        <f t="shared" si="0"/>
        <v>#DIV/0!</v>
      </c>
      <c r="E11" s="4">
        <v>1</v>
      </c>
      <c r="F11" s="5">
        <v>33.3</v>
      </c>
      <c r="G11" s="5">
        <f t="shared" si="1"/>
        <v>33.3</v>
      </c>
      <c r="H11" s="5">
        <v>0</v>
      </c>
      <c r="I11" s="5">
        <v>0</v>
      </c>
      <c r="J11" s="6" t="e">
        <f t="shared" si="2"/>
        <v>#DIV/0!</v>
      </c>
      <c r="K11" s="4">
        <v>1</v>
      </c>
      <c r="L11" s="5">
        <v>33.3</v>
      </c>
      <c r="M11" s="5">
        <f t="shared" si="3"/>
        <v>33.3</v>
      </c>
      <c r="N11" s="5">
        <v>0</v>
      </c>
      <c r="O11" s="5">
        <v>0</v>
      </c>
      <c r="P11" s="6" t="e">
        <f t="shared" si="4"/>
        <v>#DIV/0!</v>
      </c>
      <c r="Q11" s="4">
        <v>1</v>
      </c>
      <c r="R11" s="5">
        <v>0</v>
      </c>
      <c r="S11" s="5">
        <f t="shared" si="5"/>
        <v>0</v>
      </c>
      <c r="T11" s="5">
        <v>0</v>
      </c>
      <c r="U11" s="83">
        <v>72126.1</v>
      </c>
      <c r="V11" s="6">
        <f t="shared" si="6"/>
        <v>0</v>
      </c>
      <c r="W11" s="4">
        <v>1</v>
      </c>
      <c r="X11" s="5">
        <v>33.4</v>
      </c>
      <c r="Y11" s="5">
        <f t="shared" si="7"/>
        <v>33.4</v>
      </c>
      <c r="Z11" s="5">
        <f t="shared" si="8"/>
        <v>99.99999999999999</v>
      </c>
      <c r="AA11" s="5">
        <f t="shared" si="9"/>
        <v>99.99999999999999</v>
      </c>
      <c r="AB11" s="5">
        <v>7</v>
      </c>
      <c r="AC11" s="5">
        <f t="shared" si="10"/>
        <v>6.999999999999999</v>
      </c>
    </row>
    <row r="12" spans="1:29" ht="12.75">
      <c r="A12" s="1" t="s">
        <v>47</v>
      </c>
      <c r="B12" s="9">
        <v>0</v>
      </c>
      <c r="C12" s="1">
        <v>0</v>
      </c>
      <c r="D12" s="6" t="e">
        <f t="shared" si="0"/>
        <v>#DIV/0!</v>
      </c>
      <c r="E12" s="4">
        <v>1</v>
      </c>
      <c r="F12" s="5">
        <v>33.3</v>
      </c>
      <c r="G12" s="5">
        <f t="shared" si="1"/>
        <v>33.3</v>
      </c>
      <c r="H12" s="5">
        <v>0</v>
      </c>
      <c r="I12" s="5">
        <v>0</v>
      </c>
      <c r="J12" s="6" t="e">
        <f t="shared" si="2"/>
        <v>#DIV/0!</v>
      </c>
      <c r="K12" s="4">
        <v>1</v>
      </c>
      <c r="L12" s="5">
        <v>33.3</v>
      </c>
      <c r="M12" s="5">
        <f t="shared" si="3"/>
        <v>33.3</v>
      </c>
      <c r="N12" s="5">
        <v>0</v>
      </c>
      <c r="O12" s="5">
        <v>0</v>
      </c>
      <c r="P12" s="6" t="e">
        <f t="shared" si="4"/>
        <v>#DIV/0!</v>
      </c>
      <c r="Q12" s="4">
        <v>1</v>
      </c>
      <c r="R12" s="5">
        <v>0</v>
      </c>
      <c r="S12" s="5">
        <f t="shared" si="5"/>
        <v>0</v>
      </c>
      <c r="T12" s="5">
        <v>0</v>
      </c>
      <c r="U12" s="83">
        <v>458873.1</v>
      </c>
      <c r="V12" s="6">
        <f t="shared" si="6"/>
        <v>0</v>
      </c>
      <c r="W12" s="4">
        <v>1</v>
      </c>
      <c r="X12" s="5">
        <v>33.4</v>
      </c>
      <c r="Y12" s="5">
        <f t="shared" si="7"/>
        <v>33.4</v>
      </c>
      <c r="Z12" s="5">
        <f t="shared" si="8"/>
        <v>99.99999999999999</v>
      </c>
      <c r="AA12" s="5">
        <f t="shared" si="9"/>
        <v>99.99999999999999</v>
      </c>
      <c r="AB12" s="5">
        <v>7</v>
      </c>
      <c r="AC12" s="5">
        <f t="shared" si="10"/>
        <v>6.999999999999999</v>
      </c>
    </row>
    <row r="13" spans="1:29" ht="12.75">
      <c r="A13" s="1" t="s">
        <v>48</v>
      </c>
      <c r="B13" s="9">
        <v>0</v>
      </c>
      <c r="C13" s="1">
        <v>0</v>
      </c>
      <c r="D13" s="6" t="e">
        <f t="shared" si="0"/>
        <v>#DIV/0!</v>
      </c>
      <c r="E13" s="4">
        <v>1</v>
      </c>
      <c r="F13" s="5">
        <v>33.3</v>
      </c>
      <c r="G13" s="5">
        <f t="shared" si="1"/>
        <v>33.3</v>
      </c>
      <c r="H13" s="5">
        <v>0</v>
      </c>
      <c r="I13" s="5">
        <v>0</v>
      </c>
      <c r="J13" s="6" t="e">
        <f t="shared" si="2"/>
        <v>#DIV/0!</v>
      </c>
      <c r="K13" s="4">
        <v>1</v>
      </c>
      <c r="L13" s="5">
        <v>33.3</v>
      </c>
      <c r="M13" s="5">
        <f t="shared" si="3"/>
        <v>33.3</v>
      </c>
      <c r="N13" s="5">
        <v>0</v>
      </c>
      <c r="O13" s="5">
        <v>0</v>
      </c>
      <c r="P13" s="6" t="e">
        <f t="shared" si="4"/>
        <v>#DIV/0!</v>
      </c>
      <c r="Q13" s="4">
        <v>1</v>
      </c>
      <c r="R13" s="5">
        <v>0</v>
      </c>
      <c r="S13" s="5">
        <f t="shared" si="5"/>
        <v>0</v>
      </c>
      <c r="T13" s="5">
        <v>0</v>
      </c>
      <c r="U13" s="83">
        <v>269720</v>
      </c>
      <c r="V13" s="6">
        <f t="shared" si="6"/>
        <v>0</v>
      </c>
      <c r="W13" s="4">
        <v>1</v>
      </c>
      <c r="X13" s="5">
        <v>33.4</v>
      </c>
      <c r="Y13" s="5">
        <f t="shared" si="7"/>
        <v>33.4</v>
      </c>
      <c r="Z13" s="5">
        <f t="shared" si="8"/>
        <v>99.99999999999999</v>
      </c>
      <c r="AA13" s="5">
        <f t="shared" si="9"/>
        <v>99.99999999999999</v>
      </c>
      <c r="AB13" s="5">
        <v>7</v>
      </c>
      <c r="AC13" s="5">
        <f t="shared" si="10"/>
        <v>6.999999999999999</v>
      </c>
    </row>
    <row r="14" spans="1:29" ht="12.75">
      <c r="A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2.75">
      <c r="A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2.75">
      <c r="A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2.75">
      <c r="A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2.75">
      <c r="A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2.75">
      <c r="A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2.75">
      <c r="A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2.75">
      <c r="A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2.75">
      <c r="A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2.75">
      <c r="A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</sheetData>
  <sheetProtection/>
  <mergeCells count="14">
    <mergeCell ref="H5:L5"/>
    <mergeCell ref="M5:M6"/>
    <mergeCell ref="B5:F5"/>
    <mergeCell ref="G5:G6"/>
    <mergeCell ref="AC5:AC6"/>
    <mergeCell ref="Y5:Y6"/>
    <mergeCell ref="Z5:Z6"/>
    <mergeCell ref="AA5:AA6"/>
    <mergeCell ref="AB5:AB6"/>
    <mergeCell ref="A4:A6"/>
    <mergeCell ref="B4:Y4"/>
    <mergeCell ref="T5:X5"/>
    <mergeCell ref="N5:R5"/>
    <mergeCell ref="S5:S6"/>
  </mergeCells>
  <printOptions/>
  <pageMargins left="0.1968503937007874" right="0.1968503937007874" top="0.1968503937007874" bottom="0.1968503937007874" header="0.5118110236220472" footer="0.5118110236220472"/>
  <pageSetup fitToHeight="0" fitToWidth="0" horizontalDpi="600" verticalDpi="600" orientation="landscape" paperSize="9" r:id="rId3"/>
  <legacyDrawing r:id="rId2"/>
  <oleObjects>
    <oleObject progId="Equation.3" shapeId="1961115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4:Y24"/>
  <sheetViews>
    <sheetView view="pageBreakPreview" zoomScaleNormal="75" zoomScaleSheetLayoutView="100" zoomScalePageLayoutView="0" workbookViewId="0" topLeftCell="A4">
      <pane xSplit="1" ySplit="3" topLeftCell="D7" activePane="bottomRight" state="frozen"/>
      <selection pane="topLeft" activeCell="A4" sqref="A4"/>
      <selection pane="topRight" activeCell="B4" sqref="B4"/>
      <selection pane="bottomLeft" activeCell="A7" sqref="A7"/>
      <selection pane="bottomRight" activeCell="M9" sqref="M9"/>
    </sheetView>
  </sheetViews>
  <sheetFormatPr defaultColWidth="9.00390625" defaultRowHeight="12.75"/>
  <cols>
    <col min="1" max="1" width="24.875" style="0" bestFit="1" customWidth="1"/>
    <col min="2" max="2" width="12.75390625" style="0" customWidth="1"/>
    <col min="3" max="3" width="19.00390625" style="0" customWidth="1"/>
    <col min="4" max="4" width="22.375" style="0" customWidth="1"/>
    <col min="5" max="5" width="10.625" style="0" customWidth="1"/>
    <col min="6" max="6" width="16.875" style="0" customWidth="1"/>
    <col min="7" max="7" width="17.00390625" style="0" customWidth="1"/>
    <col min="8" max="8" width="7.875" style="0" customWidth="1"/>
    <col min="9" max="9" width="6.375" style="0" customWidth="1"/>
    <col min="10" max="10" width="13.75390625" style="0" customWidth="1"/>
    <col min="11" max="11" width="12.75390625" style="0" customWidth="1"/>
    <col min="12" max="12" width="10.625" style="0" customWidth="1"/>
    <col min="13" max="13" width="9.25390625" style="0" customWidth="1"/>
    <col min="14" max="14" width="7.375" style="0" customWidth="1"/>
    <col min="15" max="15" width="8.625" style="0" customWidth="1"/>
    <col min="16" max="16" width="10.125" style="0" customWidth="1"/>
    <col min="17" max="17" width="9.875" style="0" customWidth="1"/>
    <col min="18" max="18" width="8.25390625" style="0" customWidth="1"/>
    <col min="19" max="19" width="9.00390625" style="0" customWidth="1"/>
    <col min="20" max="20" width="7.75390625" style="0" customWidth="1"/>
    <col min="21" max="21" width="8.125" style="0" customWidth="1"/>
    <col min="22" max="22" width="8.875" style="0" customWidth="1"/>
    <col min="23" max="23" width="8.00390625" style="0" customWidth="1"/>
    <col min="24" max="24" width="6.75390625" style="0" customWidth="1"/>
    <col min="25" max="25" width="7.875" style="0" customWidth="1"/>
  </cols>
  <sheetData>
    <row r="4" spans="1:25" ht="12.75">
      <c r="A4" s="98" t="s">
        <v>44</v>
      </c>
      <c r="B4" s="151" t="s">
        <v>84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3"/>
    </row>
    <row r="5" spans="1:25" ht="28.5" customHeight="1">
      <c r="A5" s="102"/>
      <c r="B5" s="108" t="s">
        <v>89</v>
      </c>
      <c r="C5" s="109"/>
      <c r="D5" s="109"/>
      <c r="E5" s="109"/>
      <c r="F5" s="109"/>
      <c r="G5" s="109"/>
      <c r="H5" s="109"/>
      <c r="I5" s="117" t="s">
        <v>56</v>
      </c>
      <c r="J5" s="117" t="s">
        <v>42</v>
      </c>
      <c r="K5" s="117"/>
      <c r="L5" s="117"/>
      <c r="M5" s="117"/>
      <c r="N5" s="117"/>
      <c r="O5" s="96" t="s">
        <v>56</v>
      </c>
      <c r="P5" s="145" t="s">
        <v>117</v>
      </c>
      <c r="Q5" s="146"/>
      <c r="R5" s="146"/>
      <c r="S5" s="146"/>
      <c r="T5" s="147"/>
      <c r="U5" s="96" t="s">
        <v>56</v>
      </c>
      <c r="V5" s="87" t="s">
        <v>58</v>
      </c>
      <c r="W5" s="90" t="s">
        <v>57</v>
      </c>
      <c r="X5" s="111" t="s">
        <v>88</v>
      </c>
      <c r="Y5" s="114" t="s">
        <v>51</v>
      </c>
    </row>
    <row r="6" spans="1:25" ht="258.75">
      <c r="A6" s="99"/>
      <c r="B6" s="22" t="s">
        <v>103</v>
      </c>
      <c r="C6" s="22" t="s">
        <v>11</v>
      </c>
      <c r="D6" s="22" t="s">
        <v>12</v>
      </c>
      <c r="E6" s="22" t="s">
        <v>37</v>
      </c>
      <c r="F6" s="43" t="s">
        <v>105</v>
      </c>
      <c r="G6" s="42" t="s">
        <v>13</v>
      </c>
      <c r="H6" s="46" t="s">
        <v>45</v>
      </c>
      <c r="I6" s="117"/>
      <c r="J6" s="22" t="s">
        <v>16</v>
      </c>
      <c r="K6" s="22" t="s">
        <v>156</v>
      </c>
      <c r="L6" s="44" t="s">
        <v>14</v>
      </c>
      <c r="M6" s="26" t="s">
        <v>15</v>
      </c>
      <c r="N6" s="25" t="s">
        <v>45</v>
      </c>
      <c r="O6" s="95"/>
      <c r="P6" s="22" t="s">
        <v>18</v>
      </c>
      <c r="Q6" s="22" t="s">
        <v>19</v>
      </c>
      <c r="R6" s="44" t="s">
        <v>17</v>
      </c>
      <c r="S6" s="26" t="s">
        <v>15</v>
      </c>
      <c r="T6" s="25" t="s">
        <v>45</v>
      </c>
      <c r="U6" s="95"/>
      <c r="V6" s="89"/>
      <c r="W6" s="92"/>
      <c r="X6" s="113"/>
      <c r="Y6" s="116"/>
    </row>
    <row r="7" spans="1:25" ht="12.75">
      <c r="A7" s="27">
        <v>1</v>
      </c>
      <c r="B7" s="38">
        <v>2</v>
      </c>
      <c r="C7" s="38">
        <v>3</v>
      </c>
      <c r="D7" s="27">
        <v>4</v>
      </c>
      <c r="E7" s="27">
        <v>5</v>
      </c>
      <c r="F7" s="38">
        <v>6</v>
      </c>
      <c r="G7" s="38">
        <v>7</v>
      </c>
      <c r="H7" s="27">
        <v>8</v>
      </c>
      <c r="I7" s="27">
        <v>9</v>
      </c>
      <c r="J7" s="38">
        <v>10</v>
      </c>
      <c r="K7" s="38">
        <v>11</v>
      </c>
      <c r="L7" s="27">
        <v>12</v>
      </c>
      <c r="M7" s="27">
        <v>13</v>
      </c>
      <c r="N7" s="38">
        <v>14</v>
      </c>
      <c r="O7" s="38">
        <v>15</v>
      </c>
      <c r="P7" s="27">
        <v>16</v>
      </c>
      <c r="Q7" s="27">
        <v>17</v>
      </c>
      <c r="R7" s="38">
        <v>18</v>
      </c>
      <c r="S7" s="38">
        <v>19</v>
      </c>
      <c r="T7" s="27">
        <v>20</v>
      </c>
      <c r="U7" s="27">
        <v>21</v>
      </c>
      <c r="V7" s="38">
        <v>22</v>
      </c>
      <c r="W7" s="38">
        <v>23</v>
      </c>
      <c r="X7" s="27">
        <v>24</v>
      </c>
      <c r="Y7" s="27">
        <v>25</v>
      </c>
    </row>
    <row r="8" spans="1:25" ht="12.75">
      <c r="A8" s="1" t="s">
        <v>46</v>
      </c>
      <c r="B8" s="9">
        <v>0</v>
      </c>
      <c r="C8" s="9">
        <v>6</v>
      </c>
      <c r="D8" s="9">
        <v>3</v>
      </c>
      <c r="E8" s="9">
        <v>9</v>
      </c>
      <c r="F8" s="10">
        <f aca="true" t="shared" si="0" ref="F8:F13">100*((1.5*B8+C8+D8)/E8)</f>
        <v>100</v>
      </c>
      <c r="G8" s="4">
        <v>1</v>
      </c>
      <c r="H8" s="5">
        <v>40</v>
      </c>
      <c r="I8" s="5">
        <f aca="true" t="shared" si="1" ref="I8:I13">G8*H8</f>
        <v>40</v>
      </c>
      <c r="J8" s="5">
        <v>0</v>
      </c>
      <c r="K8" s="5">
        <v>9</v>
      </c>
      <c r="L8" s="6">
        <v>0</v>
      </c>
      <c r="M8" s="4">
        <v>0</v>
      </c>
      <c r="N8" s="5">
        <v>30</v>
      </c>
      <c r="O8" s="5">
        <f aca="true" t="shared" si="2" ref="O8:O13">M8*N8</f>
        <v>0</v>
      </c>
      <c r="P8" s="5">
        <v>9</v>
      </c>
      <c r="Q8" s="20">
        <v>10.5</v>
      </c>
      <c r="R8" s="6">
        <v>85.71</v>
      </c>
      <c r="S8" s="4">
        <v>0.86</v>
      </c>
      <c r="T8" s="5">
        <v>30</v>
      </c>
      <c r="U8" s="5">
        <f aca="true" t="shared" si="3" ref="U8:U13">S8*T8</f>
        <v>25.8</v>
      </c>
      <c r="V8" s="5">
        <f aca="true" t="shared" si="4" ref="V8:W13">T8+N8+H8</f>
        <v>100</v>
      </c>
      <c r="W8" s="5">
        <f t="shared" si="4"/>
        <v>65.8</v>
      </c>
      <c r="X8" s="5">
        <v>7</v>
      </c>
      <c r="Y8" s="5">
        <f aca="true" t="shared" si="5" ref="Y8:Y13">(W8*X8)/100</f>
        <v>4.606</v>
      </c>
    </row>
    <row r="9" spans="1:25" ht="12.75">
      <c r="A9" s="1" t="s">
        <v>136</v>
      </c>
      <c r="B9" s="9">
        <v>0</v>
      </c>
      <c r="C9" s="9">
        <v>3</v>
      </c>
      <c r="D9" s="9">
        <v>0</v>
      </c>
      <c r="E9" s="9">
        <v>3</v>
      </c>
      <c r="F9" s="10">
        <f t="shared" si="0"/>
        <v>100</v>
      </c>
      <c r="G9" s="4">
        <v>1</v>
      </c>
      <c r="H9" s="5">
        <v>40</v>
      </c>
      <c r="I9" s="5">
        <f t="shared" si="1"/>
        <v>40</v>
      </c>
      <c r="J9" s="5">
        <v>0</v>
      </c>
      <c r="K9" s="5">
        <v>3</v>
      </c>
      <c r="L9" s="6">
        <v>0</v>
      </c>
      <c r="M9" s="4">
        <v>0</v>
      </c>
      <c r="N9" s="5">
        <v>30</v>
      </c>
      <c r="O9" s="5">
        <f t="shared" si="2"/>
        <v>0</v>
      </c>
      <c r="P9" s="5">
        <v>3</v>
      </c>
      <c r="Q9" s="5">
        <v>3</v>
      </c>
      <c r="R9" s="6">
        <v>100</v>
      </c>
      <c r="S9" s="4">
        <v>1</v>
      </c>
      <c r="T9" s="5">
        <v>30</v>
      </c>
      <c r="U9" s="5">
        <f t="shared" si="3"/>
        <v>30</v>
      </c>
      <c r="V9" s="5">
        <f t="shared" si="4"/>
        <v>100</v>
      </c>
      <c r="W9" s="5">
        <f t="shared" si="4"/>
        <v>70</v>
      </c>
      <c r="X9" s="5">
        <v>7.5</v>
      </c>
      <c r="Y9" s="5">
        <f t="shared" si="5"/>
        <v>5.25</v>
      </c>
    </row>
    <row r="10" spans="1:25" ht="12.75">
      <c r="A10" s="1" t="s">
        <v>49</v>
      </c>
      <c r="B10" s="9">
        <v>0</v>
      </c>
      <c r="C10" s="9">
        <v>1</v>
      </c>
      <c r="D10" s="9">
        <v>1</v>
      </c>
      <c r="E10" s="9">
        <v>2</v>
      </c>
      <c r="F10" s="10">
        <f t="shared" si="0"/>
        <v>100</v>
      </c>
      <c r="G10" s="4">
        <v>1</v>
      </c>
      <c r="H10" s="5">
        <v>40</v>
      </c>
      <c r="I10" s="5">
        <f t="shared" si="1"/>
        <v>40</v>
      </c>
      <c r="J10" s="5">
        <v>0</v>
      </c>
      <c r="K10" s="5">
        <v>2</v>
      </c>
      <c r="L10" s="6">
        <v>0</v>
      </c>
      <c r="M10" s="4">
        <v>0</v>
      </c>
      <c r="N10" s="5">
        <v>30</v>
      </c>
      <c r="O10" s="5">
        <f t="shared" si="2"/>
        <v>0</v>
      </c>
      <c r="P10" s="5">
        <v>2</v>
      </c>
      <c r="Q10" s="5">
        <v>2</v>
      </c>
      <c r="R10" s="6">
        <v>100</v>
      </c>
      <c r="S10" s="4">
        <v>1</v>
      </c>
      <c r="T10" s="5">
        <v>30</v>
      </c>
      <c r="U10" s="5">
        <f t="shared" si="3"/>
        <v>30</v>
      </c>
      <c r="V10" s="5">
        <f t="shared" si="4"/>
        <v>100</v>
      </c>
      <c r="W10" s="5">
        <f t="shared" si="4"/>
        <v>70</v>
      </c>
      <c r="X10" s="5">
        <v>7.5</v>
      </c>
      <c r="Y10" s="5">
        <f t="shared" si="5"/>
        <v>5.25</v>
      </c>
    </row>
    <row r="11" spans="1:25" ht="12.75">
      <c r="A11" s="1" t="s">
        <v>50</v>
      </c>
      <c r="B11" s="54">
        <v>0</v>
      </c>
      <c r="C11" s="54">
        <v>10</v>
      </c>
      <c r="D11" s="54">
        <v>0</v>
      </c>
      <c r="E11" s="54">
        <v>10</v>
      </c>
      <c r="F11" s="55">
        <f t="shared" si="0"/>
        <v>100</v>
      </c>
      <c r="G11" s="17">
        <v>1</v>
      </c>
      <c r="H11" s="8">
        <v>40</v>
      </c>
      <c r="I11" s="8">
        <f t="shared" si="1"/>
        <v>40</v>
      </c>
      <c r="J11" s="8">
        <v>2</v>
      </c>
      <c r="K11" s="8">
        <v>10</v>
      </c>
      <c r="L11" s="17">
        <v>20</v>
      </c>
      <c r="M11" s="17">
        <v>0.2</v>
      </c>
      <c r="N11" s="8">
        <v>30</v>
      </c>
      <c r="O11" s="8">
        <f t="shared" si="2"/>
        <v>6</v>
      </c>
      <c r="P11" s="8">
        <v>10</v>
      </c>
      <c r="Q11" s="8">
        <v>10</v>
      </c>
      <c r="R11" s="17">
        <v>100</v>
      </c>
      <c r="S11" s="17">
        <v>1</v>
      </c>
      <c r="T11" s="8">
        <v>30</v>
      </c>
      <c r="U11" s="8">
        <f t="shared" si="3"/>
        <v>30</v>
      </c>
      <c r="V11" s="8">
        <f t="shared" si="4"/>
        <v>100</v>
      </c>
      <c r="W11" s="8">
        <f t="shared" si="4"/>
        <v>76</v>
      </c>
      <c r="X11" s="8">
        <v>7</v>
      </c>
      <c r="Y11" s="8">
        <f t="shared" si="5"/>
        <v>5.32</v>
      </c>
    </row>
    <row r="12" spans="1:25" ht="12.75">
      <c r="A12" s="1" t="s">
        <v>47</v>
      </c>
      <c r="B12" s="9">
        <v>0</v>
      </c>
      <c r="C12" s="9">
        <v>12</v>
      </c>
      <c r="D12" s="9">
        <v>0</v>
      </c>
      <c r="E12" s="9">
        <v>12</v>
      </c>
      <c r="F12" s="10">
        <f t="shared" si="0"/>
        <v>100</v>
      </c>
      <c r="G12" s="4">
        <v>1</v>
      </c>
      <c r="H12" s="5">
        <v>40</v>
      </c>
      <c r="I12" s="5">
        <f t="shared" si="1"/>
        <v>40</v>
      </c>
      <c r="J12" s="5">
        <v>2</v>
      </c>
      <c r="K12" s="5">
        <v>12</v>
      </c>
      <c r="L12" s="6">
        <v>16.67</v>
      </c>
      <c r="M12" s="4">
        <v>0.17</v>
      </c>
      <c r="N12" s="5">
        <v>30</v>
      </c>
      <c r="O12" s="5">
        <f t="shared" si="2"/>
        <v>5.1000000000000005</v>
      </c>
      <c r="P12" s="5">
        <v>12</v>
      </c>
      <c r="Q12" s="5">
        <v>12</v>
      </c>
      <c r="R12" s="6">
        <v>100</v>
      </c>
      <c r="S12" s="4">
        <v>1</v>
      </c>
      <c r="T12" s="5">
        <v>30</v>
      </c>
      <c r="U12" s="5">
        <f t="shared" si="3"/>
        <v>30</v>
      </c>
      <c r="V12" s="5">
        <f t="shared" si="4"/>
        <v>100</v>
      </c>
      <c r="W12" s="5">
        <f t="shared" si="4"/>
        <v>75.1</v>
      </c>
      <c r="X12" s="5">
        <v>7</v>
      </c>
      <c r="Y12" s="5">
        <f t="shared" si="5"/>
        <v>5.257</v>
      </c>
    </row>
    <row r="13" spans="1:25" ht="12.75">
      <c r="A13" s="1" t="s">
        <v>48</v>
      </c>
      <c r="B13" s="9">
        <v>0</v>
      </c>
      <c r="C13" s="9">
        <v>1</v>
      </c>
      <c r="D13" s="9">
        <v>0</v>
      </c>
      <c r="E13" s="9">
        <v>1</v>
      </c>
      <c r="F13" s="10">
        <f t="shared" si="0"/>
        <v>100</v>
      </c>
      <c r="G13" s="4">
        <v>1</v>
      </c>
      <c r="H13" s="5">
        <v>40</v>
      </c>
      <c r="I13" s="5">
        <f t="shared" si="1"/>
        <v>40</v>
      </c>
      <c r="J13" s="5">
        <v>0</v>
      </c>
      <c r="K13" s="5">
        <v>1</v>
      </c>
      <c r="L13" s="6">
        <v>0</v>
      </c>
      <c r="M13" s="4">
        <v>0</v>
      </c>
      <c r="N13" s="5">
        <v>30</v>
      </c>
      <c r="O13" s="5">
        <f t="shared" si="2"/>
        <v>0</v>
      </c>
      <c r="P13" s="5">
        <v>1</v>
      </c>
      <c r="Q13" s="20">
        <v>1</v>
      </c>
      <c r="R13" s="6">
        <v>100</v>
      </c>
      <c r="S13" s="4">
        <v>1</v>
      </c>
      <c r="T13" s="5">
        <v>30</v>
      </c>
      <c r="U13" s="5">
        <f t="shared" si="3"/>
        <v>30</v>
      </c>
      <c r="V13" s="5">
        <f t="shared" si="4"/>
        <v>100</v>
      </c>
      <c r="W13" s="5">
        <f t="shared" si="4"/>
        <v>70</v>
      </c>
      <c r="X13" s="5">
        <v>7</v>
      </c>
      <c r="Y13" s="5">
        <f t="shared" si="5"/>
        <v>4.9</v>
      </c>
    </row>
    <row r="14" spans="1:25" ht="12.75">
      <c r="A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2.75">
      <c r="A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2.75">
      <c r="A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2.75">
      <c r="A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2.75">
      <c r="A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2.75">
      <c r="A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2.75">
      <c r="A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2.75">
      <c r="A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2.75">
      <c r="A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2.75">
      <c r="A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2.75">
      <c r="A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</sheetData>
  <sheetProtection/>
  <mergeCells count="12">
    <mergeCell ref="A4:A6"/>
    <mergeCell ref="U5:U6"/>
    <mergeCell ref="B4:Y4"/>
    <mergeCell ref="P5:T5"/>
    <mergeCell ref="V5:V6"/>
    <mergeCell ref="W5:W6"/>
    <mergeCell ref="X5:X6"/>
    <mergeCell ref="Y5:Y6"/>
    <mergeCell ref="B5:H5"/>
    <mergeCell ref="I5:I6"/>
    <mergeCell ref="J5:N5"/>
    <mergeCell ref="O5:O6"/>
  </mergeCells>
  <printOptions/>
  <pageMargins left="0.1968503937007874" right="0.1968503937007874" top="0.1968503937007874" bottom="0.1968503937007874" header="0.5118110236220472" footer="0.5118110236220472"/>
  <pageSetup fitToHeight="0" fitToWidth="0" horizontalDpi="600" verticalDpi="600" orientation="landscape" paperSize="9" r:id="rId5"/>
  <legacyDrawing r:id="rId4"/>
  <oleObjects>
    <oleObject progId="Equation.3" shapeId="1966924" r:id="rId1"/>
    <oleObject progId="Equation.3" shapeId="1966925" r:id="rId2"/>
    <oleObject progId="Equation.3" shapeId="2068726" r:id="rId3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4:K20"/>
  <sheetViews>
    <sheetView view="pageBreakPreview" zoomScaleNormal="75" zoomScaleSheetLayoutView="100" zoomScalePageLayoutView="0" workbookViewId="0" topLeftCell="A1">
      <selection activeCell="B6" sqref="B6"/>
    </sheetView>
  </sheetViews>
  <sheetFormatPr defaultColWidth="9.00390625" defaultRowHeight="12.75"/>
  <cols>
    <col min="1" max="1" width="25.125" style="0" customWidth="1"/>
    <col min="2" max="2" width="9.375" style="0" customWidth="1"/>
    <col min="3" max="3" width="9.625" style="0" customWidth="1"/>
    <col min="4" max="5" width="16.375" style="0" customWidth="1"/>
    <col min="6" max="6" width="7.625" style="0" customWidth="1"/>
    <col min="7" max="7" width="8.00390625" style="0" customWidth="1"/>
    <col min="8" max="8" width="8.25390625" style="0" customWidth="1"/>
    <col min="9" max="9" width="8.375" style="0" customWidth="1"/>
    <col min="10" max="10" width="6.25390625" style="0" customWidth="1"/>
    <col min="11" max="11" width="7.875" style="0" customWidth="1"/>
  </cols>
  <sheetData>
    <row r="4" spans="1:11" ht="20.25" customHeight="1">
      <c r="A4" s="139" t="s">
        <v>44</v>
      </c>
      <c r="B4" s="108" t="s">
        <v>73</v>
      </c>
      <c r="C4" s="109"/>
      <c r="D4" s="109"/>
      <c r="E4" s="109"/>
      <c r="F4" s="109"/>
      <c r="G4" s="109"/>
      <c r="H4" s="109"/>
      <c r="I4" s="109"/>
      <c r="J4" s="109"/>
      <c r="K4" s="110"/>
    </row>
    <row r="5" spans="1:11" ht="20.25" customHeight="1">
      <c r="A5" s="139"/>
      <c r="B5" s="154" t="s">
        <v>43</v>
      </c>
      <c r="C5" s="154"/>
      <c r="D5" s="154"/>
      <c r="E5" s="154"/>
      <c r="F5" s="155"/>
      <c r="G5" s="97" t="s">
        <v>56</v>
      </c>
      <c r="H5" s="87" t="s">
        <v>58</v>
      </c>
      <c r="I5" s="90" t="s">
        <v>57</v>
      </c>
      <c r="J5" s="111" t="s">
        <v>22</v>
      </c>
      <c r="K5" s="114" t="s">
        <v>51</v>
      </c>
    </row>
    <row r="6" spans="1:11" ht="123.75">
      <c r="A6" s="139"/>
      <c r="B6" s="22" t="s">
        <v>38</v>
      </c>
      <c r="C6" s="22" t="s">
        <v>39</v>
      </c>
      <c r="D6" s="45" t="s">
        <v>20</v>
      </c>
      <c r="E6" s="26" t="s">
        <v>104</v>
      </c>
      <c r="F6" s="25" t="s">
        <v>45</v>
      </c>
      <c r="G6" s="95"/>
      <c r="H6" s="89"/>
      <c r="I6" s="92"/>
      <c r="J6" s="113"/>
      <c r="K6" s="116"/>
    </row>
    <row r="7" spans="1:11" ht="12.75">
      <c r="A7" s="27">
        <v>1</v>
      </c>
      <c r="B7" s="38">
        <v>2</v>
      </c>
      <c r="C7" s="38">
        <v>3</v>
      </c>
      <c r="D7" s="27">
        <v>4</v>
      </c>
      <c r="E7" s="38">
        <v>5</v>
      </c>
      <c r="F7" s="38">
        <v>6</v>
      </c>
      <c r="G7" s="27">
        <v>7</v>
      </c>
      <c r="H7" s="38">
        <v>8</v>
      </c>
      <c r="I7" s="38">
        <v>9</v>
      </c>
      <c r="J7" s="27">
        <v>10</v>
      </c>
      <c r="K7" s="38">
        <v>11</v>
      </c>
    </row>
    <row r="8" spans="1:11" ht="12.75">
      <c r="A8" s="1" t="s">
        <v>46</v>
      </c>
      <c r="B8" s="9">
        <v>503.7</v>
      </c>
      <c r="C8" s="9">
        <v>409.5</v>
      </c>
      <c r="D8" s="10">
        <f aca="true" t="shared" si="0" ref="D8:D13">100*(C8-B8)/B8</f>
        <v>-18.701608100059556</v>
      </c>
      <c r="E8" s="4">
        <v>1</v>
      </c>
      <c r="F8" s="5">
        <v>100</v>
      </c>
      <c r="G8" s="5">
        <f aca="true" t="shared" si="1" ref="G8:G13">E8*F8</f>
        <v>100</v>
      </c>
      <c r="H8" s="5">
        <f aca="true" t="shared" si="2" ref="H8:I13">F8</f>
        <v>100</v>
      </c>
      <c r="I8" s="5">
        <f t="shared" si="2"/>
        <v>100</v>
      </c>
      <c r="J8" s="5">
        <v>7</v>
      </c>
      <c r="K8" s="5">
        <f aca="true" t="shared" si="3" ref="K8:K13">(I8*J8)/100</f>
        <v>7</v>
      </c>
    </row>
    <row r="9" spans="1:11" ht="12.75">
      <c r="A9" s="1" t="s">
        <v>136</v>
      </c>
      <c r="B9" s="9">
        <v>1</v>
      </c>
      <c r="C9" s="9">
        <v>1</v>
      </c>
      <c r="D9" s="10">
        <f t="shared" si="0"/>
        <v>0</v>
      </c>
      <c r="E9" s="4">
        <v>1</v>
      </c>
      <c r="F9" s="5">
        <v>100</v>
      </c>
      <c r="G9" s="5">
        <f t="shared" si="1"/>
        <v>100</v>
      </c>
      <c r="H9" s="5">
        <f t="shared" si="2"/>
        <v>100</v>
      </c>
      <c r="I9" s="5">
        <f t="shared" si="2"/>
        <v>100</v>
      </c>
      <c r="J9" s="5">
        <v>7.5</v>
      </c>
      <c r="K9" s="5">
        <f t="shared" si="3"/>
        <v>7.5</v>
      </c>
    </row>
    <row r="10" spans="1:11" ht="12.75">
      <c r="A10" s="1" t="s">
        <v>49</v>
      </c>
      <c r="B10" s="9">
        <v>180.4</v>
      </c>
      <c r="C10" s="9">
        <v>196.5</v>
      </c>
      <c r="D10" s="10">
        <f t="shared" si="0"/>
        <v>8.924611973392459</v>
      </c>
      <c r="E10" s="18">
        <v>1</v>
      </c>
      <c r="F10" s="5">
        <v>100</v>
      </c>
      <c r="G10" s="5">
        <f t="shared" si="1"/>
        <v>100</v>
      </c>
      <c r="H10" s="5">
        <f t="shared" si="2"/>
        <v>100</v>
      </c>
      <c r="I10" s="5">
        <f t="shared" si="2"/>
        <v>100</v>
      </c>
      <c r="J10" s="5">
        <v>7.5</v>
      </c>
      <c r="K10" s="5">
        <f t="shared" si="3"/>
        <v>7.5</v>
      </c>
    </row>
    <row r="11" spans="1:11" ht="12.75">
      <c r="A11" s="1" t="s">
        <v>50</v>
      </c>
      <c r="B11" s="9">
        <v>1.2</v>
      </c>
      <c r="C11" s="9">
        <v>2.4</v>
      </c>
      <c r="D11" s="10">
        <f t="shared" si="0"/>
        <v>100</v>
      </c>
      <c r="E11" s="4">
        <v>1</v>
      </c>
      <c r="F11" s="5">
        <v>100</v>
      </c>
      <c r="G11" s="5">
        <f t="shared" si="1"/>
        <v>100</v>
      </c>
      <c r="H11" s="5">
        <f t="shared" si="2"/>
        <v>100</v>
      </c>
      <c r="I11" s="5">
        <f t="shared" si="2"/>
        <v>100</v>
      </c>
      <c r="J11" s="5">
        <v>7</v>
      </c>
      <c r="K11" s="5">
        <f t="shared" si="3"/>
        <v>7</v>
      </c>
    </row>
    <row r="12" spans="1:11" ht="12.75">
      <c r="A12" s="1" t="s">
        <v>47</v>
      </c>
      <c r="B12" s="9">
        <v>231.8</v>
      </c>
      <c r="C12" s="9">
        <v>188.1</v>
      </c>
      <c r="D12" s="10">
        <f t="shared" si="0"/>
        <v>-18.85245901639345</v>
      </c>
      <c r="E12" s="4">
        <v>1</v>
      </c>
      <c r="F12" s="5">
        <v>100</v>
      </c>
      <c r="G12" s="5">
        <f t="shared" si="1"/>
        <v>100</v>
      </c>
      <c r="H12" s="5">
        <f t="shared" si="2"/>
        <v>100</v>
      </c>
      <c r="I12" s="5">
        <f t="shared" si="2"/>
        <v>100</v>
      </c>
      <c r="J12" s="5">
        <v>7</v>
      </c>
      <c r="K12" s="5">
        <f t="shared" si="3"/>
        <v>7</v>
      </c>
    </row>
    <row r="13" spans="1:11" ht="12.75">
      <c r="A13" s="1" t="s">
        <v>48</v>
      </c>
      <c r="B13" s="9">
        <v>1</v>
      </c>
      <c r="C13" s="9">
        <v>0.7</v>
      </c>
      <c r="D13" s="10">
        <f t="shared" si="0"/>
        <v>-30.000000000000004</v>
      </c>
      <c r="E13" s="4">
        <v>1</v>
      </c>
      <c r="F13" s="5">
        <v>100</v>
      </c>
      <c r="G13" s="5">
        <f t="shared" si="1"/>
        <v>100</v>
      </c>
      <c r="H13" s="5">
        <f t="shared" si="2"/>
        <v>100</v>
      </c>
      <c r="I13" s="5">
        <f t="shared" si="2"/>
        <v>100</v>
      </c>
      <c r="J13" s="5">
        <v>7</v>
      </c>
      <c r="K13" s="5">
        <f t="shared" si="3"/>
        <v>7</v>
      </c>
    </row>
    <row r="14" spans="1:11" ht="12.75">
      <c r="A14" s="2"/>
      <c r="D14" s="2"/>
      <c r="E14" s="2"/>
      <c r="F14" s="2"/>
      <c r="G14" s="2"/>
      <c r="H14" s="2"/>
      <c r="I14" s="2"/>
      <c r="J14" s="2"/>
      <c r="K14" s="2"/>
    </row>
    <row r="15" spans="1:11" ht="12.75">
      <c r="A15" s="51" t="s">
        <v>179</v>
      </c>
      <c r="D15" s="2"/>
      <c r="E15" s="2"/>
      <c r="F15" s="2"/>
      <c r="G15" s="2"/>
      <c r="H15" s="2"/>
      <c r="I15" s="2"/>
      <c r="J15" s="2"/>
      <c r="K15" s="2"/>
    </row>
    <row r="16" spans="1:11" ht="12.75">
      <c r="A16" s="2"/>
      <c r="D16" s="2"/>
      <c r="E16" s="2"/>
      <c r="F16" s="2"/>
      <c r="G16" s="2"/>
      <c r="H16" s="2"/>
      <c r="I16" s="2"/>
      <c r="J16" s="2"/>
      <c r="K16" s="2"/>
    </row>
    <row r="17" spans="1:11" ht="12.75">
      <c r="A17" s="2"/>
      <c r="D17" s="2"/>
      <c r="E17" s="2"/>
      <c r="F17" s="2"/>
      <c r="G17" s="2"/>
      <c r="H17" s="2"/>
      <c r="I17" s="2"/>
      <c r="J17" s="2"/>
      <c r="K17" s="2"/>
    </row>
    <row r="18" spans="1:11" ht="12.75">
      <c r="A18" s="2"/>
      <c r="D18" s="2"/>
      <c r="E18" s="2"/>
      <c r="F18" s="2"/>
      <c r="G18" s="2"/>
      <c r="H18" s="2"/>
      <c r="I18" s="2"/>
      <c r="J18" s="2"/>
      <c r="K18" s="2"/>
    </row>
    <row r="19" spans="1:11" ht="12.75">
      <c r="A19" s="2"/>
      <c r="D19" s="2"/>
      <c r="E19" s="2"/>
      <c r="F19" s="2"/>
      <c r="G19" s="2"/>
      <c r="H19" s="2"/>
      <c r="I19" s="2"/>
      <c r="J19" s="2"/>
      <c r="K19" s="2"/>
    </row>
    <row r="20" spans="1:11" ht="12.75">
      <c r="A20" s="2"/>
      <c r="D20" s="2"/>
      <c r="E20" s="2"/>
      <c r="F20" s="2"/>
      <c r="G20" s="2"/>
      <c r="H20" s="2"/>
      <c r="I20" s="2"/>
      <c r="J20" s="2"/>
      <c r="K20" s="2"/>
    </row>
  </sheetData>
  <sheetProtection/>
  <mergeCells count="8">
    <mergeCell ref="A4:A6"/>
    <mergeCell ref="G5:G6"/>
    <mergeCell ref="H5:H6"/>
    <mergeCell ref="B5:F5"/>
    <mergeCell ref="B4:K4"/>
    <mergeCell ref="I5:I6"/>
    <mergeCell ref="J5:J6"/>
    <mergeCell ref="K5:K6"/>
  </mergeCells>
  <printOptions/>
  <pageMargins left="0.1968503937007874" right="0.1968503937007874" top="0.1968503937007874" bottom="0.1968503937007874" header="0.5118110236220472" footer="0.5118110236220472"/>
  <pageSetup fitToHeight="0" fitToWidth="0" horizontalDpi="600" verticalDpi="600" orientation="landscape" paperSize="9" r:id="rId6"/>
  <legacyDrawing r:id="rId5"/>
  <oleObjects>
    <oleObject progId="Equation.3" shapeId="1968502" r:id="rId1"/>
    <oleObject progId="Equation.3" shapeId="1968503" r:id="rId2"/>
    <oleObject progId="Equation.3" shapeId="155938" r:id="rId3"/>
    <oleObject progId="Equation.3" shapeId="157486" r:id="rId4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O10"/>
  <sheetViews>
    <sheetView view="pageBreakPreview" zoomScaleSheetLayoutView="100" zoomScalePageLayoutView="0" workbookViewId="0" topLeftCell="A1">
      <selection activeCell="H8" sqref="H8"/>
    </sheetView>
  </sheetViews>
  <sheetFormatPr defaultColWidth="9.00390625" defaultRowHeight="12.75"/>
  <cols>
    <col min="1" max="1" width="24.875" style="0" bestFit="1" customWidth="1"/>
    <col min="2" max="2" width="15.75390625" style="0" bestFit="1" customWidth="1"/>
    <col min="3" max="3" width="16.75390625" style="0" bestFit="1" customWidth="1"/>
    <col min="4" max="4" width="8.875" style="0" bestFit="1" customWidth="1"/>
    <col min="5" max="5" width="9.875" style="0" customWidth="1"/>
    <col min="6" max="6" width="8.75390625" style="0" bestFit="1" customWidth="1"/>
    <col min="7" max="7" width="8.00390625" style="0" bestFit="1" customWidth="1"/>
    <col min="8" max="8" width="42.75390625" style="0" bestFit="1" customWidth="1"/>
    <col min="9" max="9" width="20.25390625" style="0" bestFit="1" customWidth="1"/>
    <col min="10" max="10" width="8.75390625" style="0" bestFit="1" customWidth="1"/>
    <col min="11" max="11" width="8.00390625" style="0" bestFit="1" customWidth="1"/>
  </cols>
  <sheetData>
    <row r="1" spans="1:15" ht="21.75" customHeight="1">
      <c r="A1" s="98" t="s">
        <v>44</v>
      </c>
      <c r="B1" s="151" t="s">
        <v>111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3"/>
    </row>
    <row r="2" spans="1:15" ht="33" customHeight="1">
      <c r="A2" s="102"/>
      <c r="B2" s="108" t="s">
        <v>112</v>
      </c>
      <c r="C2" s="109"/>
      <c r="D2" s="109"/>
      <c r="E2" s="109"/>
      <c r="F2" s="109"/>
      <c r="G2" s="117" t="s">
        <v>56</v>
      </c>
      <c r="H2" s="117" t="s">
        <v>113</v>
      </c>
      <c r="I2" s="117"/>
      <c r="J2" s="117"/>
      <c r="K2" s="96" t="s">
        <v>56</v>
      </c>
      <c r="L2" s="87" t="s">
        <v>58</v>
      </c>
      <c r="M2" s="90" t="s">
        <v>57</v>
      </c>
      <c r="N2" s="111" t="s">
        <v>88</v>
      </c>
      <c r="O2" s="114" t="s">
        <v>51</v>
      </c>
    </row>
    <row r="3" spans="1:15" ht="232.5" customHeight="1">
      <c r="A3" s="99"/>
      <c r="B3" s="22" t="s">
        <v>114</v>
      </c>
      <c r="C3" s="22" t="s">
        <v>159</v>
      </c>
      <c r="D3" s="43" t="s">
        <v>161</v>
      </c>
      <c r="E3" s="42" t="s">
        <v>160</v>
      </c>
      <c r="F3" s="46" t="s">
        <v>45</v>
      </c>
      <c r="G3" s="117"/>
      <c r="H3" s="44" t="s">
        <v>115</v>
      </c>
      <c r="I3" s="44" t="s">
        <v>116</v>
      </c>
      <c r="J3" s="25" t="s">
        <v>45</v>
      </c>
      <c r="K3" s="95"/>
      <c r="L3" s="89"/>
      <c r="M3" s="92"/>
      <c r="N3" s="113"/>
      <c r="O3" s="116"/>
    </row>
    <row r="4" spans="1:15" ht="12.75">
      <c r="A4" s="27">
        <v>1</v>
      </c>
      <c r="B4" s="38">
        <v>2</v>
      </c>
      <c r="C4" s="38">
        <v>3</v>
      </c>
      <c r="D4" s="27">
        <v>4</v>
      </c>
      <c r="E4" s="38">
        <v>5</v>
      </c>
      <c r="F4" s="38">
        <v>6</v>
      </c>
      <c r="G4" s="27">
        <v>7</v>
      </c>
      <c r="H4" s="38">
        <v>8</v>
      </c>
      <c r="I4" s="38">
        <v>9</v>
      </c>
      <c r="J4" s="27">
        <v>10</v>
      </c>
      <c r="K4" s="38">
        <v>11</v>
      </c>
      <c r="L4" s="27">
        <v>13</v>
      </c>
      <c r="M4" s="38">
        <v>14</v>
      </c>
      <c r="N4" s="38">
        <v>15</v>
      </c>
      <c r="O4" s="27">
        <v>16</v>
      </c>
    </row>
    <row r="5" spans="1:15" ht="12.75">
      <c r="A5" s="1" t="s">
        <v>46</v>
      </c>
      <c r="B5" s="9">
        <v>124906</v>
      </c>
      <c r="C5" s="9">
        <v>124906</v>
      </c>
      <c r="D5" s="10">
        <f>-(1-B5/C5)*100</f>
        <v>0</v>
      </c>
      <c r="E5" s="4">
        <v>1</v>
      </c>
      <c r="F5" s="5">
        <v>50</v>
      </c>
      <c r="G5" s="5">
        <f aca="true" t="shared" si="0" ref="G5:G10">E5*F5</f>
        <v>50</v>
      </c>
      <c r="H5" s="5" t="s">
        <v>108</v>
      </c>
      <c r="I5" s="6">
        <v>1</v>
      </c>
      <c r="J5" s="5">
        <v>50</v>
      </c>
      <c r="K5" s="5">
        <f aca="true" t="shared" si="1" ref="K5:K10">I5*J5</f>
        <v>50</v>
      </c>
      <c r="L5" s="5">
        <f aca="true" t="shared" si="2" ref="L5:M10">J5+F5</f>
        <v>100</v>
      </c>
      <c r="M5" s="5">
        <f t="shared" si="2"/>
        <v>100</v>
      </c>
      <c r="N5" s="5">
        <v>7</v>
      </c>
      <c r="O5" s="5">
        <f aca="true" t="shared" si="3" ref="O5:O10">(M5*N5)/100</f>
        <v>7</v>
      </c>
    </row>
    <row r="6" spans="1:15" ht="12.75">
      <c r="A6" s="1" t="s">
        <v>136</v>
      </c>
      <c r="B6" s="9"/>
      <c r="C6" s="9"/>
      <c r="D6" s="10"/>
      <c r="E6" s="4"/>
      <c r="F6" s="5"/>
      <c r="G6" s="5">
        <f t="shared" si="0"/>
        <v>0</v>
      </c>
      <c r="H6" s="5"/>
      <c r="I6" s="6"/>
      <c r="J6" s="5"/>
      <c r="K6" s="5">
        <f t="shared" si="1"/>
        <v>0</v>
      </c>
      <c r="L6" s="5">
        <f t="shared" si="2"/>
        <v>0</v>
      </c>
      <c r="M6" s="5">
        <f t="shared" si="2"/>
        <v>0</v>
      </c>
      <c r="N6" s="5"/>
      <c r="O6" s="5">
        <f t="shared" si="3"/>
        <v>0</v>
      </c>
    </row>
    <row r="7" spans="1:15" ht="12.75">
      <c r="A7" s="1" t="s">
        <v>49</v>
      </c>
      <c r="B7" s="9"/>
      <c r="C7" s="9"/>
      <c r="D7" s="10"/>
      <c r="E7" s="4"/>
      <c r="F7" s="5"/>
      <c r="G7" s="5">
        <f t="shared" si="0"/>
        <v>0</v>
      </c>
      <c r="H7" s="5"/>
      <c r="I7" s="6"/>
      <c r="J7" s="5"/>
      <c r="K7" s="5">
        <f t="shared" si="1"/>
        <v>0</v>
      </c>
      <c r="L7" s="5">
        <f t="shared" si="2"/>
        <v>0</v>
      </c>
      <c r="M7" s="5">
        <f t="shared" si="2"/>
        <v>0</v>
      </c>
      <c r="N7" s="5"/>
      <c r="O7" s="5">
        <f t="shared" si="3"/>
        <v>0</v>
      </c>
    </row>
    <row r="8" spans="1:15" ht="12.75">
      <c r="A8" s="1" t="s">
        <v>50</v>
      </c>
      <c r="B8" s="54">
        <v>16434.3</v>
      </c>
      <c r="C8" s="54">
        <v>16434.3</v>
      </c>
      <c r="D8" s="10">
        <f>-(1-B8/C8)*100</f>
        <v>0</v>
      </c>
      <c r="E8" s="4">
        <v>1</v>
      </c>
      <c r="F8" s="5">
        <v>50</v>
      </c>
      <c r="G8" s="5">
        <f t="shared" si="0"/>
        <v>50</v>
      </c>
      <c r="H8" s="5" t="s">
        <v>108</v>
      </c>
      <c r="I8" s="17">
        <v>1</v>
      </c>
      <c r="J8" s="5">
        <v>50</v>
      </c>
      <c r="K8" s="5">
        <f t="shared" si="1"/>
        <v>50</v>
      </c>
      <c r="L8" s="5">
        <f t="shared" si="2"/>
        <v>100</v>
      </c>
      <c r="M8" s="5">
        <f t="shared" si="2"/>
        <v>100</v>
      </c>
      <c r="N8" s="8">
        <v>7</v>
      </c>
      <c r="O8" s="8">
        <f t="shared" si="3"/>
        <v>7</v>
      </c>
    </row>
    <row r="9" spans="1:15" ht="12.75">
      <c r="A9" s="1" t="s">
        <v>47</v>
      </c>
      <c r="B9" s="9"/>
      <c r="C9" s="9"/>
      <c r="D9" s="10"/>
      <c r="E9" s="4"/>
      <c r="F9" s="5"/>
      <c r="G9" s="5">
        <f t="shared" si="0"/>
        <v>0</v>
      </c>
      <c r="H9" s="5" t="s">
        <v>108</v>
      </c>
      <c r="I9" s="6">
        <v>1</v>
      </c>
      <c r="J9" s="5">
        <v>100</v>
      </c>
      <c r="K9" s="5">
        <f t="shared" si="1"/>
        <v>100</v>
      </c>
      <c r="L9" s="5">
        <f t="shared" si="2"/>
        <v>100</v>
      </c>
      <c r="M9" s="5">
        <f t="shared" si="2"/>
        <v>100</v>
      </c>
      <c r="N9" s="5">
        <v>7</v>
      </c>
      <c r="O9" s="5">
        <f t="shared" si="3"/>
        <v>7</v>
      </c>
    </row>
    <row r="10" spans="1:15" ht="12.75">
      <c r="A10" s="1" t="s">
        <v>48</v>
      </c>
      <c r="B10" s="9"/>
      <c r="C10" s="9"/>
      <c r="D10" s="10"/>
      <c r="E10" s="4"/>
      <c r="F10" s="5"/>
      <c r="G10" s="5">
        <f t="shared" si="0"/>
        <v>0</v>
      </c>
      <c r="H10" s="5" t="s">
        <v>108</v>
      </c>
      <c r="I10" s="6">
        <v>1</v>
      </c>
      <c r="J10" s="5">
        <v>100</v>
      </c>
      <c r="K10" s="5">
        <f t="shared" si="1"/>
        <v>100</v>
      </c>
      <c r="L10" s="5">
        <f t="shared" si="2"/>
        <v>100</v>
      </c>
      <c r="M10" s="5">
        <f t="shared" si="2"/>
        <v>100</v>
      </c>
      <c r="N10" s="5">
        <v>7</v>
      </c>
      <c r="O10" s="5">
        <f t="shared" si="3"/>
        <v>7</v>
      </c>
    </row>
  </sheetData>
  <sheetProtection/>
  <mergeCells count="10">
    <mergeCell ref="N2:N3"/>
    <mergeCell ref="O2:O3"/>
    <mergeCell ref="A1:A3"/>
    <mergeCell ref="B1:O1"/>
    <mergeCell ref="B2:F2"/>
    <mergeCell ref="G2:G3"/>
    <mergeCell ref="H2:J2"/>
    <mergeCell ref="K2:K3"/>
    <mergeCell ref="L2:L3"/>
    <mergeCell ref="M2:M3"/>
  </mergeCells>
  <printOptions/>
  <pageMargins left="0.75" right="0.75" top="1" bottom="1" header="0.5" footer="0.5"/>
  <pageSetup horizontalDpi="600" verticalDpi="600" orientation="landscape" paperSize="9" r:id="rId5"/>
  <legacyDrawing r:id="rId4"/>
  <oleObjects>
    <oleObject progId="Equation.3" shapeId="242596" r:id="rId1"/>
    <oleObject progId="Equation.3" shapeId="242597" r:id="rId2"/>
    <oleObject progId="Equation.3" shapeId="242598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Сервер</dc:creator>
  <cp:keywords/>
  <dc:description/>
  <cp:lastModifiedBy>Белоусова</cp:lastModifiedBy>
  <cp:lastPrinted>2019-02-19T12:37:54Z</cp:lastPrinted>
  <dcterms:created xsi:type="dcterms:W3CDTF">2011-06-24T04:32:09Z</dcterms:created>
  <dcterms:modified xsi:type="dcterms:W3CDTF">2019-02-19T13:27:46Z</dcterms:modified>
  <cp:category/>
  <cp:version/>
  <cp:contentType/>
  <cp:contentStatus/>
</cp:coreProperties>
</file>