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75" activeTab="9"/>
  </bookViews>
  <sheets>
    <sheet name="группа 1" sheetId="1" r:id="rId1"/>
    <sheet name="группа 2" sheetId="2" r:id="rId2"/>
    <sheet name="группа 3" sheetId="3" r:id="rId3"/>
    <sheet name="группа 4" sheetId="4" r:id="rId4"/>
    <sheet name="Группа 5" sheetId="5" r:id="rId5"/>
    <sheet name="Группа 6" sheetId="6" r:id="rId6"/>
    <sheet name="Группа 7" sheetId="7" r:id="rId7"/>
    <sheet name="Группа 8" sheetId="8" r:id="rId8"/>
    <sheet name="Группа 9" sheetId="9" r:id="rId9"/>
    <sheet name="СВОД" sheetId="10" r:id="rId10"/>
  </sheets>
  <definedNames>
    <definedName name="_xlnm.Print_Area" localSheetId="1">'группа 2'!$A$1:$AQ$15</definedName>
  </definedNames>
  <calcPr fullCalcOnLoad="1"/>
</workbook>
</file>

<file path=xl/sharedStrings.xml><?xml version="1.0" encoding="utf-8"?>
<sst xmlns="http://schemas.openxmlformats.org/spreadsheetml/2006/main" count="391" uniqueCount="189">
  <si>
    <r>
      <t xml:space="preserve">E(P)= 1, если Р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5%,
E(P)= 0, если Р &gt;5%
</t>
    </r>
  </si>
  <si>
    <r>
      <t xml:space="preserve">В случае проведения годового мониторинга качества финансового менеджмента:
E(P)=1, если Р ≤ 50%;  E(P)= 1- (Р-50)/50, если 50% &lt; Р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100%;       E(P)= 0, если Р &gt; 100%</t>
    </r>
  </si>
  <si>
    <t>Nв - количество учреждений, выполнивших муниципальное задание на 100%,</t>
  </si>
  <si>
    <t>Nо - общее количество учреждений, которым установлены муниципальные задания</t>
  </si>
  <si>
    <t>Oкр - объем просроченной кредиторской задолженности на отчетную дату</t>
  </si>
  <si>
    <t>P=Oкр</t>
  </si>
  <si>
    <t xml:space="preserve">Е(Р) =1, при отсутствии просроченной кредиторской задолженности.
При наличии просроченной кредиторской задолженности оценка показателя Е(Р) = 0.
</t>
  </si>
  <si>
    <t>2.5. Эффективность управления кредиторской задолженностью по расчетам с поставщиками и подрядчиками</t>
  </si>
  <si>
    <t>2.6. Качество Порядка составления, утверждения и ведения бюджетных смет участников бюджетного процесса</t>
  </si>
  <si>
    <t xml:space="preserve">P=Qз.контр./Qдов.лим. *100
</t>
  </si>
  <si>
    <r>
      <t xml:space="preserve">E(P)=1,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50%;  E(P)= 1- (50-Р)/50, если 0% ≤ Р ≤ 50%;       E(P)= 0, если Р &lt; 0% либо No=0 и N1</t>
    </r>
    <r>
      <rPr>
        <sz val="8"/>
        <rFont val="Arial Cyr"/>
        <family val="0"/>
      </rPr>
      <t>≠</t>
    </r>
    <r>
      <rPr>
        <sz val="8"/>
        <rFont val="Times New Roman"/>
        <family val="1"/>
      </rPr>
      <t>0</t>
    </r>
  </si>
  <si>
    <t>Nh -  фактическое количество сотрудников финансового (финансово-экономического) подразделения аппарата ГРБС, обладающих дипломами о высшем профессиональном образовании или о профессиональной переподготовке по экономическим направлениям подготовки (специальностям), не имеющих дипломов кандидата или доктора экономических наук, по состоянию на 1 января текущего финансового года</t>
  </si>
  <si>
    <t>Ns -  фактическое количество сотрудников финансового (финансово-экономического) подразделения аппарата ГРБС, обладающих дипломами о среднем профессиональном образовании по экономическим направлениям подготовки (специальностям), не имеющих дипломов о высшем профессиональном образовании или о профессиональной переподготовке по экономическим направлениям подготовки (специальностям), по состоянию на 1 января текущего финансового года</t>
  </si>
  <si>
    <r>
      <t>E(P)=1, если Р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100%;                             E(P)=0, если Ns&gt;0%               </t>
    </r>
  </si>
  <si>
    <t>Р=100*Nkv/N</t>
  </si>
  <si>
    <t>E(P)=Р/100</t>
  </si>
  <si>
    <t xml:space="preserve"> Nkv  - количество сотрудников финансового (финансово-экономического) подразделения аппарата ГРБС,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</si>
  <si>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Р=100*n/N</t>
  </si>
  <si>
    <t>n -  фактическое количество сотрудников в финансовом (финансово-экономическом) подразделении аппарата ГРБС по состоянию на 1 января текущего финансового года</t>
  </si>
  <si>
    <t xml:space="preserve">N - общее количество сотрудников в финансовом (финансово-экономическом) подразделении аппарата ГРБС по штатному расписанию по состоянию на 1 января текущего финансового года
</t>
  </si>
  <si>
    <t>Р=100*(J1-Jo)/Jo</t>
  </si>
  <si>
    <t xml:space="preserve">Итоговый вес групп в оценке (%)
</t>
  </si>
  <si>
    <t xml:space="preserve">Вес группы в оценке (%)
</t>
  </si>
  <si>
    <t>Отчетность представлена в сроки,  установленные Финансовым отделом Администрации Константиновского района</t>
  </si>
  <si>
    <t xml:space="preserve">E(P) = 1, сроки соблюдены,                                     E(P) = 0, сроки не соблюдены </t>
  </si>
  <si>
    <t>Е  - кассовое исполнение расходов в отчетном финансовом году</t>
  </si>
  <si>
    <t>Вес показателей 
в группе (в %)</t>
  </si>
  <si>
    <t>В баллах для 1</t>
  </si>
  <si>
    <t>В баллах для 2</t>
  </si>
  <si>
    <t xml:space="preserve">Rf  кассовое исполнение по доходам в отчетном финансовом году 
</t>
  </si>
  <si>
    <t xml:space="preserve">Вес показателей
в группе (в %)
</t>
  </si>
  <si>
    <t xml:space="preserve"> 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</si>
  <si>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 xml:space="preserve">Sp – общая сумма заявленных исковых требований в денежном выражении, указанных в судебных решениях, вступивших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</si>
  <si>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>Р = 100* Su / Sp</t>
  </si>
  <si>
    <t xml:space="preserve">S – cумма, подлежащая к взысканию по поступившим с начала финансового года исполнительным документам за счет средств бюджета Константиновского района  по состоянию на конец отчетного периода </t>
  </si>
  <si>
    <t xml:space="preserve">Е  - кассовое исполнение расходов ГРБС в отчетном периоде
</t>
  </si>
  <si>
    <t xml:space="preserve">Р = 100*S/Е
</t>
  </si>
  <si>
    <t>N-  общее фактическое количество сотрудников финансового (финансово-экономического) подразделения аппарата ГРБС по состоянию на 1 января текущего финансового года</t>
  </si>
  <si>
    <t xml:space="preserve">Jo - стоимость материальных запасов ГРБС по состоянию на 1 января отчетного финансового года </t>
  </si>
  <si>
    <t xml:space="preserve"> J1 - стоимость материальных запасов ГРБС по состоянию на 1 января года, следующего за отчетным
</t>
  </si>
  <si>
    <t>Общая оценка показателей  в баллах</t>
  </si>
  <si>
    <t xml:space="preserve">Итоговая оценка </t>
  </si>
  <si>
    <t>7.2. Повышение квалификации сотрудников финансового (финансово-экономического) подразделения аппарата ГРБС</t>
  </si>
  <si>
    <t>8.1. Динамика объема материальных запасов</t>
  </si>
  <si>
    <t>ГРБС</t>
  </si>
  <si>
    <t xml:space="preserve">Вес показателя 
в группе (в %)
</t>
  </si>
  <si>
    <t>Администрация района</t>
  </si>
  <si>
    <t>Отдел образования</t>
  </si>
  <si>
    <t>ОСЗН</t>
  </si>
  <si>
    <t>Финотдел</t>
  </si>
  <si>
    <t>Отдел культуры</t>
  </si>
  <si>
    <t>Оценка группы (Е группы)</t>
  </si>
  <si>
    <t xml:space="preserve">Вес группы в оценке( %)
</t>
  </si>
  <si>
    <t>2. Исполнение бюджета в части расходов</t>
  </si>
  <si>
    <t>3. Исполнение бюджета по доходам</t>
  </si>
  <si>
    <t>5. Контроль и аудит</t>
  </si>
  <si>
    <t>В баллах</t>
  </si>
  <si>
    <t>Общая оценка показателей группы в баллах</t>
  </si>
  <si>
    <t>ИТОГОВЫЙ ВЕС ПОКАЗАТЕЛЕЙ В ГРУППАХ</t>
  </si>
  <si>
    <t>ВЕС ПОКАЗАТЕЛЕЙ В ГРУППЕ</t>
  </si>
  <si>
    <t xml:space="preserve">Р – количество изменений в решение о бюджете.
Не учитываются изменения, вызванные:
 - поступлением, перераспределением областных и федеральных средств; 
- распределением зарезервированных средств; 
- изменением бюджетной классификации. 
</t>
  </si>
  <si>
    <t>E(P) = 1, в случае если внесены 3 и менее поправок в решение о бюджете по инициативе главных распорядителей бюджетных средств.</t>
  </si>
  <si>
    <t>E(P) = 0, в случае если внесены более 3 поправок в решение о бюджете по инициативе главных распорядителей бюджетных средств.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</si>
  <si>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</si>
  <si>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</si>
  <si>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 xml:space="preserve">E(P)= 1, если Р &lt; 1,5% ,
E(P)= 0, если Р &gt; 1,5%
</t>
  </si>
  <si>
    <t>3.2. Эффективность управления дебиторской задолженностью по расчетам с дебиторами по доходам</t>
  </si>
  <si>
    <t>Наличие правового акта ГРБС, обеспечивающего наличие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</t>
  </si>
  <si>
    <t xml:space="preserve">E(P)=1, если правовой акт ГРБС утвержден и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ПБС;
E(P)=0, если правовой акт ГРБС не утвержден или не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
Для ГРБС, не имеющих подведомственной сети, вес данного показателя пропорционально распределяется по остальным показателям качества финансового менеджмента.
</t>
  </si>
  <si>
    <t>6. Исполнение судебных актов</t>
  </si>
  <si>
    <t>6.1. Иски о возмещении ущерба (в денежном выражении)</t>
  </si>
  <si>
    <t>8. Управление активами</t>
  </si>
  <si>
    <t xml:space="preserve">b – объем бюджетных ассигнований ГРБС в отчетном финансовом году согласно сводной бюджетной росписи бюджета Константиновского района с учетом внесенных в нее изменений </t>
  </si>
  <si>
    <t>Е  - кассовое исполнение расходов ГРБС в отчетном финансовом году</t>
  </si>
  <si>
    <t>Е – кассовые расходы в IV квартале отчетного периода,</t>
  </si>
  <si>
    <t>Еср – средний объем кассовых расходов за I-III квартал отчетного периода.</t>
  </si>
  <si>
    <t>К – объем кредиторской задолженности по расчетам с поставщиками и подрядчиками по состоянию на 1 января года, следующего за отчетным</t>
  </si>
  <si>
    <t xml:space="preserve">Р = 100*К/Е, где
</t>
  </si>
  <si>
    <t xml:space="preserve">Р = 100 * (b – E)/b
</t>
  </si>
  <si>
    <t xml:space="preserve">P=(Е – Еср)*100/Еср (применяется при годовом мониторинге качества финансового менеджмента)
</t>
  </si>
  <si>
    <t>наличие</t>
  </si>
  <si>
    <t>7. Кадровый потенциал финансового (финансово-экономического) подразделения ГРБС</t>
  </si>
  <si>
    <t xml:space="preserve">Наличие правового акта ГРБС, регулирующего внутренние процедуры подготовки бюджетных проектировок на очередной финансовый год и плановый период
</t>
  </si>
  <si>
    <t xml:space="preserve">Наличие правового акта ГРБС, содержащего:
1) процедуры составления, ведения и утверждения бюджетных смет подведомственных ПБС, применяемые как к ГРБС, так и к другим подведомственным участникам бюджетного процесса;
2) порядок ведения бюджетных смет.
</t>
  </si>
  <si>
    <t>соответствует требованиям 1)-2)</t>
  </si>
  <si>
    <t xml:space="preserve">Вес группы в оценке ( %)
</t>
  </si>
  <si>
    <t xml:space="preserve">7.1. Квалификация сотрудников
финансового (финансово-экономического) подразделения аппарата ГРБС
</t>
  </si>
  <si>
    <t xml:space="preserve">E(P)=1, если правовой акт ГРБС полностью соответствует требованиям 1) – 2) настоящего пункта;
E(P)=0,5, если правовой акт ГРБС полностью или частично не соответствует хотя бы одному из требований 1) – 2) настоящего пункта;
E(P)=0, если правовой акт ГРБС полностью не соответствует требованиям 1) – 2) настоящего пункта
</t>
  </si>
  <si>
    <r>
      <t>P=100*D/R</t>
    </r>
    <r>
      <rPr>
        <vertAlign val="subscript"/>
        <sz val="8"/>
        <rFont val="Times New Roman"/>
        <family val="1"/>
      </rPr>
      <t>f</t>
    </r>
    <r>
      <rPr>
        <sz val="8"/>
        <rFont val="Times New Roman"/>
        <family val="1"/>
      </rPr>
      <t xml:space="preserve"> 
</t>
    </r>
  </si>
  <si>
    <r>
      <t xml:space="preserve">2     </t>
    </r>
    <r>
      <rPr>
        <sz val="8"/>
        <rFont val="Times New Roman"/>
        <family val="1"/>
      </rPr>
      <t xml:space="preserve">                              E(P)= 0, если P &gt;  50%,</t>
    </r>
  </si>
  <si>
    <r>
      <t xml:space="preserve">1  </t>
    </r>
    <r>
      <rPr>
        <sz val="8"/>
        <rFont val="Times New Roman"/>
        <family val="1"/>
      </rPr>
      <t xml:space="preserve">                               E(P)=1, если P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 50%,</t>
    </r>
  </si>
  <si>
    <t>D - объем дебиторской задолженности по доходам по состоянию на 1 января года, следующего за отчетным</t>
  </si>
  <si>
    <t>При сдаче отчетности в Финансовый отдел Администрации Константиновского района отсутствуют ошибки</t>
  </si>
  <si>
    <t xml:space="preserve">E(P) = 1, если ошибки отсутствуют, E(P) = 0,5, если ошибки допущены 1 раз и исправлены, E(P) = 0, если ошибки допущены более одного раза и (или) направлено более двух электронных версий </t>
  </si>
  <si>
    <t xml:space="preserve">Р = 100*Su / Sp
</t>
  </si>
  <si>
    <t>6.3. Иски по денежным обязательствам получателей средств бюджета Константиновского района (в денежном выражении)</t>
  </si>
  <si>
    <t xml:space="preserve"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</t>
  </si>
  <si>
    <t xml:space="preserve"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
</t>
  </si>
  <si>
    <t>6.4. Сумма, подлежащая взысканию по исполнительным документам</t>
  </si>
  <si>
    <t xml:space="preserve">E(P)=1-Р/2, если Р≤2%;                             E(P)=0, если Р&gt;2%               </t>
  </si>
  <si>
    <t xml:space="preserve">Nkd - фактическое количество сотрудников финансового (финансово-экономического) подразделения аппарата ГРБС, обладающих дипломами кандидата или доктора экономических наук по состоянию на 1 января текущего финансового года  
</t>
  </si>
  <si>
    <t>E(P)=1, если Р &lt; I;  E(P)= 1- (Р-I)/I, если I &lt; Р &lt; 2 I;                         E(P)= 0, если Р &gt; 2 I,                      где I-  значение инфляции в отчетном финансовом году</t>
  </si>
  <si>
    <t>Р=100*(1,5Nkd+Nh+Ns)/N</t>
  </si>
  <si>
    <t>представлена в срок</t>
  </si>
  <si>
    <t>в наличии</t>
  </si>
  <si>
    <t xml:space="preserve">E(P)=1, если правовой акт ГРБС утвержден
E(P)=0, если правовой акт ГРБС не утвержден 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</si>
  <si>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</si>
  <si>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9. Качество управления средствами областного бюджета, бюджета Константиновского района в части целевых межбюджетных трансфертов, а также деятельностью бюджетных и автономных учреждений</t>
  </si>
  <si>
    <t>9.1. Качество управления средствами областного бюджета, бюджета Константиновского района в части целевых межбюджетных трансфертов</t>
  </si>
  <si>
    <t xml:space="preserve">9.2. Качество управления деятельностью бюджетных и автономных учреждений </t>
  </si>
  <si>
    <t xml:space="preserve">КРпос. - кассовые расходы бюджетов поселений за счет межбюджетных трансфертов из областного бюджета,  бюджета Константиновского района 
</t>
  </si>
  <si>
    <t xml:space="preserve"> Наличие правовых актов, обеспечивающих проведение мониторинга деятельности или качества финансового менеджмента бюджетных и автономных учреждений , содержащих показатели, отражающие:
1) состояние финансовой дисциплины;
2) качество плана финансово-хозяйственной деятельности;
3) степень выполнения плана финансово-хозяйственной деятельности за отчетный период;
4) выполнение муниципального задания;
5) причины возникновения остатков по субсидиям на финансовое обеспечение выполнения муниципального  задания на конец отчетного года;
6) полноту, достоверность составления и своевременность представления отчетности (бухгалтерской, отчетов о результатах деятельности бюджетных и автономных учреждений и использовании закрепленного за учреждением имущества и т.д.);
7) качество ведения учетной политики и или управленческого (аналитического) учета
</t>
  </si>
  <si>
    <t xml:space="preserve">Е=SUM Ei/n,                                        где
n =7 показателей,
Ei - равно 1, если показатель описывается в правовом акте,
Ei - равно 0, если показатель не описывается в правовом акте
 Показатель не рассчитывается по главным распорядителям, которые не являются учредителями бюджетных и (или) автономных учреждений.  В этом случае вес данного показателя распределяется по остальным показателям.
</t>
  </si>
  <si>
    <t>7.3. Укомплектованность  финансового (финансово-экономического) подразделения аппарата ГРБС</t>
  </si>
  <si>
    <r>
      <t xml:space="preserve">E(P)=1, если Р ≤ 50% или Su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</si>
  <si>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>6.2. Иски о взыскании задолженности (в денежном выражении)</t>
  </si>
  <si>
    <t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</si>
  <si>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</si>
  <si>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 xml:space="preserve">Р = 100*Su / Sp,  
</t>
  </si>
  <si>
    <r>
      <t xml:space="preserve">E(P)=1, если Р ≤ 50% или Su 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</si>
  <si>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>N – общее количество заявок, представленных ГРБС в Финансовый отдел Администрации Константиновского района в отчетном периоде</t>
  </si>
  <si>
    <t>P=100*N0/N</t>
  </si>
  <si>
    <t>5.4. Количество составленных протоколов об административных правонарушениях, выявленных в финансово-бюджетной сфере</t>
  </si>
  <si>
    <t>Наличие правонарушений, установленных в соответствии с  главой 15 Кодекса Российской Федерации об административных правонарушениях от 30.12.2001 № 195-ФЗ</t>
  </si>
  <si>
    <t xml:space="preserve">E(P)=1, если протоколы об административных правонарушениях отсутствуют,
E(P)=0, если составлены протоколы в отношении правонарушений, допущенных ГРБС
</t>
  </si>
  <si>
    <t>5.5. Проведение инвентаризаций</t>
  </si>
  <si>
    <t>Вес показателя 
в группе (в %)</t>
  </si>
  <si>
    <t>Р = R/Rобщ.</t>
  </si>
  <si>
    <t xml:space="preserve">Для ГРБС, которые устанавливают муниципальные задания для подведомственных учреждений:
E(P)=1-(1-Р)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</si>
  <si>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2.3. 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</si>
  <si>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Rобщ. - общее количество муниципальных учреждений, подведомственных ГРБС, которым установлены муниципальные задания в отчетном финансовом году</t>
  </si>
  <si>
    <t>Контрольно-счетная палата</t>
  </si>
  <si>
    <t xml:space="preserve"> Rp – плановые объемы налоговых и неналоговых доходов по главному администратору доходов бюджета Константиновского района</t>
  </si>
  <si>
    <t>Rf - кассовое исполнение по налоговым и неналоговым доходам в отчетном периоде</t>
  </si>
  <si>
    <r>
      <t xml:space="preserve">4.1. Качество формирования ГРБС бюджетной отчетности и бухгалтерской отчетности </t>
    </r>
    <r>
      <rPr>
        <b/>
        <sz val="8"/>
        <color indexed="8"/>
        <rFont val="Times New Roman"/>
        <family val="1"/>
      </rPr>
      <t>муниципальных автономных и бюджетных учреждений</t>
    </r>
  </si>
  <si>
    <r>
      <t xml:space="preserve">4.2. Соблюдение сроков предоставления ГРБС бюджетной отчетности и бухгалтерской отчетности </t>
    </r>
    <r>
      <rPr>
        <b/>
        <sz val="8"/>
        <color indexed="8"/>
        <rFont val="Times New Roman"/>
        <family val="1"/>
      </rPr>
      <t>муниципальных автономных и бюджетных учреждений</t>
    </r>
  </si>
  <si>
    <t>ошибки отсутствуют</t>
  </si>
  <si>
    <t>5.1. Осуществление мероприятий внутреннего муниципального финансового контроля</t>
  </si>
  <si>
    <t>Наличие в годовой бюджетной отчетности за отчетный финансовый год заполненной таблицы «Сведения о результатах мероприятий внутреннего государственного (муниципального) финансового контроля»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 (далее – таблица «Сведения о результатах мероприятий внутреннего государственного (муниципального) финансового контроля»), содержание которой функционально соответствует характеристикам внутреннего контроля, указанным в комментарии</t>
  </si>
  <si>
    <t xml:space="preserve">E(P)=1, если таблица «Сведения о результатах мероприятий внутреннего государственного (муниципального) финансового контроля» заполнена 
E(P)=0, если таблица «Сведения о результатах мероприятий внутреннего государственного (муниципального) финансового контроля» не заполнена 
</t>
  </si>
  <si>
    <t>5.2. Динамика нарушений, выявленных в ходе внешнего муниципального финансового контроля</t>
  </si>
  <si>
    <t>N1 - количество нарушений, выявленных в ходе внешнего муниципального финансового контроля, по состоянию на 1 января года, следующего за отчетным, определяемое в соответствии с таблицей «Сведения о результатах внешнего государственного (муниципального) финансового контроля»</t>
  </si>
  <si>
    <r>
      <t xml:space="preserve"> N</t>
    </r>
    <r>
      <rPr>
        <vertAlign val="sub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- количество нарушений, выявленных в ходе внешний муниципальный финансовый контроль, по состоянию на 1 января отчетного года, определяемое в соответствии с таблицей «Сведения о результатах внешнего муниципального финансового контроля», заполненной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</t>
    </r>
  </si>
  <si>
    <t>N0 – количество заявок ГРБС, отказанных Финансовым отделом Администрации Константиновского района по итогам проведения процедуры санкционирования</t>
  </si>
  <si>
    <t>N  - общее фактическое количество сотрудников финансового (финансово-экономического) подразделения аппарата ГРБС, по состоянию на 1 января текущего финансового года
(за исключением сотрудников, находящихся в декретном отпуске и вновь принятых на работу в отчетном периоде)</t>
  </si>
  <si>
    <t>R - количество муниципальных учреждений, подведомственных ГРБС,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 в отчетном финансовом году</t>
  </si>
  <si>
    <t xml:space="preserve">Для ГРБС, которые устанавливают муниципальные задания для подведомственных учреждений:
E(P)=1, если правовой акт ГРБС содержит положения о применении количественно измеримых финансовых санкций (штрафов, изъятий) за нарушение условий выполнения муниципальных заданий;
E(P)=0, если правовой акт ГРБС не утвержден или не соответствует требованиям настоящего пункта;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
</t>
  </si>
  <si>
    <t xml:space="preserve">КРгрбс - сумма межбюджетных трансфертов, перечисленная из бюджета Константиновского района ГРБС, включая  областные средства </t>
  </si>
  <si>
    <t xml:space="preserve">E(P)=P/100              </t>
  </si>
  <si>
    <t>Р=( 1-КРпос./КРгрбс)* 100</t>
  </si>
  <si>
    <t xml:space="preserve">Для ГРБС, которые устанавливают муниципальные  задания для подведомственных учреждений:
Е (Р) =1, если Р = 100%,
Е (Р) = 0, если Р &lt; 100%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</si>
  <si>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2.4. Объем просроченной кредиторской задолженности</t>
  </si>
  <si>
    <t>2.7. Своевременность заключения муниципальных контрактов на поставки товаров, оказание услуг, выполнение работ для муниципальных нужд</t>
  </si>
  <si>
    <t>3.1. Отклонение от плана формирования налоговых и неналоговых доходов по главному администратору доходов бюджета Константиновского района</t>
  </si>
  <si>
    <t xml:space="preserve">Р =100* (Rp-Rf)/Rp,  если Rp&gt;Rf                                               </t>
  </si>
  <si>
    <t xml:space="preserve">Р =100* (Rf-Rp)/Rp,  если Rp≤Rf                     </t>
  </si>
  <si>
    <t>E(p)=1, если P≤15%;                               E(p)=1-(P-15)/15, если 15%≤  P≤30%;                   E(p)= 0, если P&gt;30%                                           Если ГРБС не является главным администратором доходов бюджета Константиновского района, вес данного показателя пропорционально распределяется по остальным показателям качества финансового менеджмента.                                             Е (Р)=1, если Rp&lt;Rf и Rp=0, при условии наличия фактических поступлений по прочим неналоговым доходам и поступлениям, носящим разовый характер.</t>
  </si>
  <si>
    <t>5.3. Несоответствие заявок на оплату расходов, представленных в Финансовый отдел Администрации Константиновского района, требованиям бюджетного законодательства</t>
  </si>
  <si>
    <t>P=100*(No-N1)/No</t>
  </si>
  <si>
    <t xml:space="preserve">E(P) = 1,  если P ≤ 0,1 %;
E(P) = 0,8, если P &gt; 0,1 % и ≤ 0,5 %;
E(P) = 0,5, если P &gt; 0,5 % и ≤ 2 %;
E(P) = 0,2, если P &gt; 2 % и ≤ 5 %;
E(P) = 0, если P &gt; 5 %.
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</si>
  <si>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ПБС</t>
  </si>
  <si>
    <t xml:space="preserve">
Qз.контр. - объем принятых бюджетных обязательств путем заключения муниципальных контрактов, иных договоров на поставки товаров, оказание услуг, выполнение работ для муниципальных нужд в первом полугодии отчетного финансового года,</t>
  </si>
  <si>
    <t xml:space="preserve">Q дов.лим. - объем доведенных лимитов бюджетных обязательств до ГРБС на поставку товаров, оказание услуг, выполнение работ для муниципальных нужд в первом полугодии отчетного финансового года
</t>
  </si>
  <si>
    <t xml:space="preserve">E(P) = 1 , если не выявлены нарушения бюджетного законодательства;
E(P) = 0,5, если по выявленным нарушениям бюджетного законодательства составлены представления, предписания, по которым не требуется возврат  предоставленных средств и возмещение причиненного ущерба;
 E(P) = 0,25,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ущерба;
E(P) = 0,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 не исполнены в срок.
По ГРБС, в отношении которых не проводились контрольные мероприятия в отчетном финансовом году, вес данного показателя пропорционально распределяется по остальным показателям качества финансового менеджмента данного блока.
</t>
  </si>
  <si>
    <t>1.2. 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</si>
  <si>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1.1.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</si>
  <si>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1.2.2.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</si>
  <si>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1.2.1. 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</si>
  <si>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 xml:space="preserve">1.3. Количество изменений в решение о бюджете, подготовленных по инициативе ГРБС </t>
  </si>
  <si>
    <t>Учет и отчетность</t>
  </si>
  <si>
    <t>Наличие в годовой бюджетной отчетности за отчетный финансовый год заполненной таблицы «Сведения о проведении инвентаризаций»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Федерации, в части выявленных расхождений, либо информации о проведении инвентаризации в текстовой части пояснительной записки.</t>
  </si>
  <si>
    <t xml:space="preserve">E(P) = 1, при наличии факта проведения инвентаризации;
E(P) = 0, при отсутствии факта проведения инвентаризации.
</t>
  </si>
  <si>
    <t>5.7. Наличие выявленных при осуществлении мероприятий внутреннего государственного , муниципального финансового контроля нарушений бюджетного законодательства и законодательства в сфере закупок, допущенных главными распорядителями средств бюджета Константиновского района, в т.ч. требующих возврата  предоставленных средств и возмещение причиненного ущерба</t>
  </si>
  <si>
    <t>Наличие нарушений бюджетного законодательства и законодательства в сфере закупок, допущенных главными распорядителями средств бюджета Константиновского района в отчетном финансовом году, в отношении которых проводились контрольные мероприятия.</t>
  </si>
  <si>
    <t>5.8. Наличие факта неправомерного использования бюджетных средств (нецелевое использование)</t>
  </si>
  <si>
    <t>Р - наличие факта неправомерного использования бюджетных средств (нецелевое использование), выявленного по результатам проверки, наличие административного наказания.</t>
  </si>
  <si>
    <t xml:space="preserve">Е(Р) = 0, если Р &gt;0;
Е(Р) = 1, если Р = 0.
</t>
  </si>
  <si>
    <t>5.9. Наличие нарушений при планировании закупок</t>
  </si>
  <si>
    <t>Р - наличие административного наказания за нарушения при планировании закупок.</t>
  </si>
  <si>
    <t xml:space="preserve">Е(Р) = 0, если Р &gt;0;
Е(Р) = 1, если Р = 0.
</t>
  </si>
  <si>
    <t xml:space="preserve">5.10. Нарушение порядка составления, утверждения и ведения бюджетных смет </t>
  </si>
  <si>
    <t>Р - наличие нарушений порядка составления, утверждения и ведения бюджетных смет, наличие административного наказания.</t>
  </si>
  <si>
    <t>5.11. Нарушение порядка принятия бюджетных обязательств на закупку товаров, работ и услуг</t>
  </si>
  <si>
    <t>Р - наличие нарушений порядка принятия бюджетных обязательств на закупку товаров, работ и услуг, наличие административного наказания.</t>
  </si>
  <si>
    <t>5.12. Нарушение доведения бюджетных ассигнований и лимитов бюджетных обязательств</t>
  </si>
  <si>
    <t>Р - наличие нарушений доведения бюджетных ассигнований и лимитов бюджетных обязательств, наличие административного наказания.</t>
  </si>
  <si>
    <t>в наличии, соответствует требованиям</t>
  </si>
  <si>
    <t>в наличии,  соответствует требованиям</t>
  </si>
  <si>
    <t>инфляция 104,91 % 2020 год (факт за 2020 год)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</si>
</sst>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7.3"/>
      <color indexed="12"/>
      <name val="Arial Cyr"/>
      <family val="0"/>
    </font>
    <font>
      <u val="single"/>
      <sz val="7.3"/>
      <color indexed="36"/>
      <name val="Arial Cyr"/>
      <family val="0"/>
    </font>
    <font>
      <sz val="10"/>
      <color indexed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 CYR"/>
      <family val="0"/>
    </font>
    <font>
      <b/>
      <sz val="8"/>
      <color indexed="8"/>
      <name val="Times New Roman"/>
      <family val="1"/>
    </font>
    <font>
      <sz val="6"/>
      <name val="Arial Cyr"/>
      <family val="0"/>
    </font>
    <font>
      <sz val="10"/>
      <color indexed="10"/>
      <name val="Arial Cyr"/>
      <family val="0"/>
    </font>
    <font>
      <sz val="6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Times New Roman"/>
      <family val="1"/>
    </font>
    <font>
      <sz val="10"/>
      <color rgb="FFFF0000"/>
      <name val="Arial Cyr"/>
      <family val="0"/>
    </font>
    <font>
      <sz val="8"/>
      <color theme="1"/>
      <name val="Arial Cyr"/>
      <family val="0"/>
    </font>
    <font>
      <b/>
      <sz val="8"/>
      <color rgb="FF7030A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90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0" fontId="11" fillId="32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2" fontId="18" fillId="18" borderId="10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0" xfId="0" applyFont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/>
    </xf>
    <xf numFmtId="190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190" fontId="55" fillId="0" borderId="10" xfId="0" applyNumberFormat="1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/>
    </xf>
    <xf numFmtId="0" fontId="11" fillId="34" borderId="14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2" fontId="55" fillId="37" borderId="10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2" fontId="0" fillId="37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 horizontal="center"/>
    </xf>
    <xf numFmtId="2" fontId="0" fillId="3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19" fillId="37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2" xfId="0" applyNumberFormat="1" applyFont="1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0" fontId="9" fillId="37" borderId="0" xfId="0" applyFont="1" applyFill="1" applyAlignment="1">
      <alignment/>
    </xf>
    <xf numFmtId="2" fontId="57" fillId="0" borderId="10" xfId="0" applyNumberFormat="1" applyFont="1" applyFill="1" applyBorder="1" applyAlignment="1">
      <alignment horizontal="center"/>
    </xf>
    <xf numFmtId="2" fontId="57" fillId="37" borderId="10" xfId="0" applyNumberFormat="1" applyFont="1" applyFill="1" applyBorder="1" applyAlignment="1">
      <alignment horizontal="center"/>
    </xf>
    <xf numFmtId="2" fontId="57" fillId="37" borderId="10" xfId="0" applyNumberFormat="1" applyFont="1" applyFill="1" applyBorder="1" applyAlignment="1">
      <alignment/>
    </xf>
    <xf numFmtId="2" fontId="57" fillId="38" borderId="10" xfId="0" applyNumberFormat="1" applyFont="1" applyFill="1" applyBorder="1" applyAlignment="1">
      <alignment/>
    </xf>
    <xf numFmtId="2" fontId="57" fillId="37" borderId="10" xfId="0" applyNumberFormat="1" applyFont="1" applyFill="1" applyBorder="1" applyAlignment="1">
      <alignment/>
    </xf>
    <xf numFmtId="0" fontId="55" fillId="37" borderId="10" xfId="0" applyFont="1" applyFill="1" applyBorder="1" applyAlignment="1">
      <alignment/>
    </xf>
    <xf numFmtId="190" fontId="55" fillId="37" borderId="10" xfId="0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 horizontal="center"/>
    </xf>
    <xf numFmtId="190" fontId="55" fillId="37" borderId="10" xfId="0" applyNumberFormat="1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/>
    </xf>
    <xf numFmtId="2" fontId="18" fillId="37" borderId="10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/>
    </xf>
    <xf numFmtId="2" fontId="55" fillId="37" borderId="10" xfId="0" applyNumberFormat="1" applyFont="1" applyFill="1" applyBorder="1" applyAlignment="1">
      <alignment/>
    </xf>
    <xf numFmtId="2" fontId="55" fillId="37" borderId="0" xfId="0" applyNumberFormat="1" applyFont="1" applyFill="1" applyAlignment="1">
      <alignment/>
    </xf>
    <xf numFmtId="2" fontId="58" fillId="0" borderId="10" xfId="0" applyNumberFormat="1" applyFont="1" applyFill="1" applyBorder="1" applyAlignment="1">
      <alignment horizontal="center" wrapText="1"/>
    </xf>
    <xf numFmtId="2" fontId="57" fillId="38" borderId="10" xfId="0" applyNumberFormat="1" applyFont="1" applyFill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4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39" borderId="14" xfId="0" applyFont="1" applyFill="1" applyBorder="1" applyAlignment="1">
      <alignment horizontal="center" vertical="top" wrapText="1"/>
    </xf>
    <xf numFmtId="0" fontId="10" fillId="39" borderId="10" xfId="0" applyFont="1" applyFill="1" applyBorder="1" applyAlignment="1">
      <alignment horizontal="center" vertical="top" wrapText="1"/>
    </xf>
    <xf numFmtId="0" fontId="10" fillId="38" borderId="14" xfId="0" applyFont="1" applyFill="1" applyBorder="1" applyAlignment="1">
      <alignment horizontal="center" vertical="top" wrapText="1"/>
    </xf>
    <xf numFmtId="0" fontId="10" fillId="40" borderId="14" xfId="0" applyFont="1" applyFill="1" applyBorder="1" applyAlignment="1">
      <alignment horizontal="center" vertical="top" wrapText="1"/>
    </xf>
    <xf numFmtId="0" fontId="10" fillId="4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0" fontId="10" fillId="42" borderId="13" xfId="0" applyFont="1" applyFill="1" applyBorder="1" applyAlignment="1">
      <alignment horizontal="center" vertical="center" wrapText="1"/>
    </xf>
    <xf numFmtId="0" fontId="10" fillId="42" borderId="11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59" fillId="42" borderId="22" xfId="0" applyFont="1" applyFill="1" applyBorder="1" applyAlignment="1">
      <alignment horizontal="center" vertical="center" wrapText="1"/>
    </xf>
    <xf numFmtId="0" fontId="59" fillId="42" borderId="23" xfId="0" applyFont="1" applyFill="1" applyBorder="1" applyAlignment="1">
      <alignment horizontal="center" vertical="center" wrapText="1"/>
    </xf>
    <xf numFmtId="0" fontId="59" fillId="42" borderId="24" xfId="0" applyFont="1" applyFill="1" applyBorder="1" applyAlignment="1">
      <alignment horizontal="center" vertical="center" wrapText="1"/>
    </xf>
    <xf numFmtId="0" fontId="59" fillId="42" borderId="16" xfId="0" applyFont="1" applyFill="1" applyBorder="1" applyAlignment="1">
      <alignment horizontal="center" vertical="center" wrapText="1"/>
    </xf>
    <xf numFmtId="0" fontId="59" fillId="42" borderId="13" xfId="0" applyFont="1" applyFill="1" applyBorder="1" applyAlignment="1">
      <alignment horizontal="center" vertical="center" wrapText="1"/>
    </xf>
    <xf numFmtId="0" fontId="59" fillId="42" borderId="11" xfId="0" applyFont="1" applyFill="1" applyBorder="1" applyAlignment="1">
      <alignment horizontal="center" vertical="center" wrapText="1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23" xfId="0" applyFont="1" applyFill="1" applyBorder="1" applyAlignment="1">
      <alignment horizontal="center" vertical="center" wrapText="1"/>
    </xf>
    <xf numFmtId="0" fontId="10" fillId="42" borderId="24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3.wmf" /><Relationship Id="rId3" Type="http://schemas.openxmlformats.org/officeDocument/2006/relationships/image" Target="../media/image6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1.wmf" /><Relationship Id="rId4" Type="http://schemas.openxmlformats.org/officeDocument/2006/relationships/image" Target="../media/image1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15"/>
  <sheetViews>
    <sheetView view="pageBreakPreview" zoomScale="85" zoomScaleNormal="80" zoomScaleSheetLayoutView="85" zoomScalePageLayoutView="0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9" sqref="W9:W14"/>
    </sheetView>
  </sheetViews>
  <sheetFormatPr defaultColWidth="9.00390625" defaultRowHeight="12.75"/>
  <cols>
    <col min="1" max="1" width="24.875" style="0" bestFit="1" customWidth="1"/>
    <col min="2" max="2" width="17.875" style="0" customWidth="1"/>
    <col min="3" max="3" width="16.75390625" style="0" customWidth="1"/>
    <col min="4" max="4" width="10.625" style="0" customWidth="1"/>
    <col min="6" max="6" width="17.25390625" style="0" customWidth="1"/>
    <col min="7" max="7" width="22.75390625" style="0" customWidth="1"/>
    <col min="8" max="9" width="8.00390625" style="0" customWidth="1"/>
    <col min="10" max="10" width="12.75390625" style="0" customWidth="1"/>
    <col min="11" max="12" width="8.00390625" style="0" customWidth="1"/>
    <col min="13" max="13" width="14.25390625" style="0" customWidth="1"/>
    <col min="14" max="14" width="8.125" style="0" customWidth="1"/>
    <col min="15" max="16" width="8.00390625" style="0" customWidth="1"/>
    <col min="17" max="17" width="13.875" style="0" customWidth="1"/>
    <col min="18" max="18" width="10.375" style="0" customWidth="1"/>
    <col min="19" max="19" width="10.25390625" style="0" customWidth="1"/>
    <col min="20" max="20" width="7.375" style="0" customWidth="1"/>
    <col min="21" max="21" width="8.625" style="0" customWidth="1"/>
    <col min="22" max="22" width="10.75390625" style="0" bestFit="1" customWidth="1"/>
    <col min="23" max="23" width="10.375" style="0" customWidth="1"/>
    <col min="24" max="25" width="9.375" style="0" customWidth="1"/>
  </cols>
  <sheetData>
    <row r="1" ht="9" customHeight="1"/>
    <row r="2" ht="12.75" hidden="1"/>
    <row r="3" ht="12.75" hidden="1"/>
    <row r="4" spans="1:25" ht="12.75">
      <c r="A4" s="109" t="s">
        <v>44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</row>
    <row r="5" spans="1:25" ht="56.25" customHeight="1">
      <c r="A5" s="112"/>
      <c r="B5" s="115" t="s">
        <v>165</v>
      </c>
      <c r="C5" s="115"/>
      <c r="D5" s="116"/>
      <c r="E5" s="123" t="s">
        <v>56</v>
      </c>
      <c r="F5" s="111" t="s">
        <v>164</v>
      </c>
      <c r="G5" s="111"/>
      <c r="H5" s="111"/>
      <c r="I5" s="111"/>
      <c r="J5" s="111"/>
      <c r="K5" s="111"/>
      <c r="L5" s="111"/>
      <c r="M5" s="111"/>
      <c r="N5" s="111"/>
      <c r="O5" s="111"/>
      <c r="P5" s="123" t="s">
        <v>56</v>
      </c>
      <c r="Q5" s="125" t="s">
        <v>168</v>
      </c>
      <c r="R5" s="125"/>
      <c r="S5" s="125"/>
      <c r="T5" s="125"/>
      <c r="U5" s="123" t="s">
        <v>56</v>
      </c>
      <c r="V5" s="128" t="s">
        <v>59</v>
      </c>
      <c r="W5" s="131" t="s">
        <v>57</v>
      </c>
      <c r="X5" s="117" t="s">
        <v>85</v>
      </c>
      <c r="Y5" s="120" t="s">
        <v>51</v>
      </c>
    </row>
    <row r="6" spans="1:25" ht="63.75" customHeight="1">
      <c r="A6" s="112"/>
      <c r="B6" s="109" t="s">
        <v>82</v>
      </c>
      <c r="C6" s="126" t="s">
        <v>105</v>
      </c>
      <c r="D6" s="128" t="s">
        <v>45</v>
      </c>
      <c r="E6" s="124"/>
      <c r="F6" s="111" t="s">
        <v>167</v>
      </c>
      <c r="G6" s="111"/>
      <c r="H6" s="111"/>
      <c r="I6" s="111" t="s">
        <v>56</v>
      </c>
      <c r="J6" s="111" t="s">
        <v>166</v>
      </c>
      <c r="K6" s="111"/>
      <c r="L6" s="111"/>
      <c r="M6" s="111"/>
      <c r="N6" s="111"/>
      <c r="O6" s="111" t="s">
        <v>56</v>
      </c>
      <c r="P6" s="124"/>
      <c r="Q6" s="109" t="s">
        <v>60</v>
      </c>
      <c r="R6" s="126" t="s">
        <v>61</v>
      </c>
      <c r="S6" s="126" t="s">
        <v>62</v>
      </c>
      <c r="T6" s="128" t="s">
        <v>45</v>
      </c>
      <c r="U6" s="124"/>
      <c r="V6" s="129"/>
      <c r="W6" s="132"/>
      <c r="X6" s="118"/>
      <c r="Y6" s="121"/>
    </row>
    <row r="7" spans="1:25" ht="281.25">
      <c r="A7" s="110"/>
      <c r="B7" s="110"/>
      <c r="C7" s="127"/>
      <c r="D7" s="130"/>
      <c r="E7" s="125"/>
      <c r="F7" s="20" t="s">
        <v>106</v>
      </c>
      <c r="G7" s="20" t="s">
        <v>146</v>
      </c>
      <c r="H7" s="76" t="s">
        <v>126</v>
      </c>
      <c r="I7" s="111"/>
      <c r="J7" s="20" t="s">
        <v>145</v>
      </c>
      <c r="K7" s="20" t="s">
        <v>130</v>
      </c>
      <c r="L7" s="20" t="s">
        <v>127</v>
      </c>
      <c r="M7" s="20" t="s">
        <v>128</v>
      </c>
      <c r="N7" s="76" t="s">
        <v>126</v>
      </c>
      <c r="O7" s="111"/>
      <c r="P7" s="125"/>
      <c r="Q7" s="110"/>
      <c r="R7" s="127"/>
      <c r="S7" s="127"/>
      <c r="T7" s="130"/>
      <c r="U7" s="125"/>
      <c r="V7" s="130"/>
      <c r="W7" s="133"/>
      <c r="X7" s="119"/>
      <c r="Y7" s="122"/>
    </row>
    <row r="8" spans="1:25" s="2" customFormat="1" ht="12.75">
      <c r="A8" s="25">
        <v>1</v>
      </c>
      <c r="B8" s="25">
        <v>8</v>
      </c>
      <c r="C8" s="25">
        <v>9</v>
      </c>
      <c r="D8" s="25">
        <v>10</v>
      </c>
      <c r="E8" s="25">
        <v>11</v>
      </c>
      <c r="F8" s="25">
        <v>12</v>
      </c>
      <c r="G8" s="25">
        <v>13</v>
      </c>
      <c r="H8" s="25">
        <v>14</v>
      </c>
      <c r="I8" s="25">
        <v>15</v>
      </c>
      <c r="J8" s="25">
        <v>16</v>
      </c>
      <c r="K8" s="25">
        <v>17</v>
      </c>
      <c r="L8" s="25">
        <v>18</v>
      </c>
      <c r="M8" s="25">
        <v>19</v>
      </c>
      <c r="N8" s="25">
        <v>20</v>
      </c>
      <c r="O8" s="25">
        <v>21</v>
      </c>
      <c r="P8" s="25">
        <v>22</v>
      </c>
      <c r="Q8" s="25">
        <v>23</v>
      </c>
      <c r="R8" s="25">
        <v>24</v>
      </c>
      <c r="S8" s="25">
        <v>25</v>
      </c>
      <c r="T8" s="25">
        <v>26</v>
      </c>
      <c r="U8" s="25">
        <v>27</v>
      </c>
      <c r="V8" s="25">
        <v>28</v>
      </c>
      <c r="W8" s="25">
        <v>29</v>
      </c>
      <c r="X8" s="25">
        <v>30</v>
      </c>
      <c r="Y8" s="25">
        <v>31</v>
      </c>
    </row>
    <row r="9" spans="1:25" s="2" customFormat="1" ht="12.75">
      <c r="A9" s="1" t="s">
        <v>46</v>
      </c>
      <c r="B9" s="51" t="s">
        <v>104</v>
      </c>
      <c r="C9" s="51">
        <v>1</v>
      </c>
      <c r="D9" s="53">
        <v>45</v>
      </c>
      <c r="E9" s="8">
        <f aca="true" t="shared" si="0" ref="E9:E14">C9*D9</f>
        <v>45</v>
      </c>
      <c r="F9" s="88" t="s">
        <v>186</v>
      </c>
      <c r="G9" s="62">
        <v>0</v>
      </c>
      <c r="H9" s="62">
        <v>20</v>
      </c>
      <c r="I9" s="62">
        <f>G9*H9</f>
        <v>0</v>
      </c>
      <c r="J9" s="62">
        <v>0</v>
      </c>
      <c r="K9" s="5">
        <v>2</v>
      </c>
      <c r="L9" s="5">
        <f>J9/K9</f>
        <v>0</v>
      </c>
      <c r="M9" s="5">
        <f>1-(1-L9)</f>
        <v>0</v>
      </c>
      <c r="N9" s="5">
        <v>15</v>
      </c>
      <c r="O9" s="5">
        <f>M9*N9</f>
        <v>0</v>
      </c>
      <c r="P9" s="5">
        <f>I9+O9</f>
        <v>0</v>
      </c>
      <c r="Q9" s="67">
        <v>40</v>
      </c>
      <c r="R9" s="4"/>
      <c r="S9" s="55">
        <v>0</v>
      </c>
      <c r="T9" s="14">
        <v>20</v>
      </c>
      <c r="U9" s="5">
        <f aca="true" t="shared" si="1" ref="U9:U14">(R9+S9)*T9</f>
        <v>0</v>
      </c>
      <c r="V9" s="5">
        <f aca="true" t="shared" si="2" ref="V9:V14">D9+H9+N9+T9</f>
        <v>100</v>
      </c>
      <c r="W9" s="4">
        <f aca="true" t="shared" si="3" ref="W9:W14">E9+P9+U9</f>
        <v>45</v>
      </c>
      <c r="X9" s="66">
        <v>15</v>
      </c>
      <c r="Y9" s="5">
        <f aca="true" t="shared" si="4" ref="Y9:Y14">(W9*X9)/100</f>
        <v>6.75</v>
      </c>
    </row>
    <row r="10" spans="1:25" s="2" customFormat="1" ht="12.75">
      <c r="A10" s="1" t="s">
        <v>131</v>
      </c>
      <c r="B10" s="51" t="s">
        <v>104</v>
      </c>
      <c r="C10" s="4">
        <v>1</v>
      </c>
      <c r="D10" s="5">
        <v>65</v>
      </c>
      <c r="E10" s="8">
        <f t="shared" si="0"/>
        <v>65</v>
      </c>
      <c r="F10" s="63"/>
      <c r="G10" s="63"/>
      <c r="H10" s="63"/>
      <c r="I10" s="63"/>
      <c r="J10" s="63"/>
      <c r="K10" s="1"/>
      <c r="L10" s="1"/>
      <c r="M10" s="1"/>
      <c r="N10" s="1"/>
      <c r="O10" s="1"/>
      <c r="P10" s="1"/>
      <c r="Q10" s="68">
        <v>1</v>
      </c>
      <c r="R10" s="1">
        <v>1</v>
      </c>
      <c r="S10" s="1"/>
      <c r="T10" s="14">
        <v>35</v>
      </c>
      <c r="U10" s="5">
        <f t="shared" si="1"/>
        <v>35</v>
      </c>
      <c r="V10" s="5">
        <f t="shared" si="2"/>
        <v>100</v>
      </c>
      <c r="W10" s="4">
        <f t="shared" si="3"/>
        <v>100</v>
      </c>
      <c r="X10" s="66">
        <v>16.1</v>
      </c>
      <c r="Y10" s="5">
        <f t="shared" si="4"/>
        <v>16.1</v>
      </c>
    </row>
    <row r="11" spans="1:25" s="2" customFormat="1" ht="12.75">
      <c r="A11" s="1" t="s">
        <v>49</v>
      </c>
      <c r="B11" s="51" t="s">
        <v>104</v>
      </c>
      <c r="C11" s="51">
        <v>1</v>
      </c>
      <c r="D11" s="53">
        <v>65</v>
      </c>
      <c r="E11" s="8">
        <f t="shared" si="0"/>
        <v>65</v>
      </c>
      <c r="F11" s="62"/>
      <c r="G11" s="62"/>
      <c r="H11" s="62"/>
      <c r="I11" s="62"/>
      <c r="J11" s="62"/>
      <c r="K11" s="5"/>
      <c r="L11" s="5"/>
      <c r="M11" s="5"/>
      <c r="N11" s="5"/>
      <c r="O11" s="5"/>
      <c r="P11" s="5"/>
      <c r="Q11" s="67">
        <v>1</v>
      </c>
      <c r="R11" s="61">
        <v>1</v>
      </c>
      <c r="S11" s="61"/>
      <c r="T11" s="14">
        <v>35</v>
      </c>
      <c r="U11" s="85">
        <f t="shared" si="1"/>
        <v>35</v>
      </c>
      <c r="V11" s="5">
        <f t="shared" si="2"/>
        <v>100</v>
      </c>
      <c r="W11" s="4">
        <f t="shared" si="3"/>
        <v>100</v>
      </c>
      <c r="X11" s="66">
        <v>16.1</v>
      </c>
      <c r="Y11" s="5">
        <f t="shared" si="4"/>
        <v>16.1</v>
      </c>
    </row>
    <row r="12" spans="1:25" s="2" customFormat="1" ht="12.75">
      <c r="A12" s="1" t="s">
        <v>50</v>
      </c>
      <c r="B12" s="17" t="s">
        <v>104</v>
      </c>
      <c r="C12" s="51">
        <v>1</v>
      </c>
      <c r="D12" s="53">
        <v>45</v>
      </c>
      <c r="E12" s="8">
        <f t="shared" si="0"/>
        <v>45</v>
      </c>
      <c r="F12" s="64" t="s">
        <v>186</v>
      </c>
      <c r="G12" s="62">
        <v>0</v>
      </c>
      <c r="H12" s="62">
        <v>20</v>
      </c>
      <c r="I12" s="62">
        <f>G12*H12</f>
        <v>0</v>
      </c>
      <c r="J12" s="62">
        <v>0</v>
      </c>
      <c r="K12" s="5">
        <v>3</v>
      </c>
      <c r="L12" s="5">
        <f>J12/K12</f>
        <v>0</v>
      </c>
      <c r="M12" s="5">
        <f>1-(1-L12)</f>
        <v>0</v>
      </c>
      <c r="N12" s="5">
        <v>15</v>
      </c>
      <c r="O12" s="5">
        <f>M12*N12</f>
        <v>0</v>
      </c>
      <c r="P12" s="5">
        <f>I12+O12</f>
        <v>0</v>
      </c>
      <c r="Q12" s="67">
        <v>10</v>
      </c>
      <c r="R12" s="4"/>
      <c r="S12" s="55">
        <v>0</v>
      </c>
      <c r="T12" s="14">
        <v>20</v>
      </c>
      <c r="U12" s="5">
        <f t="shared" si="1"/>
        <v>0</v>
      </c>
      <c r="V12" s="5">
        <f t="shared" si="2"/>
        <v>100</v>
      </c>
      <c r="W12" s="4">
        <f t="shared" si="3"/>
        <v>45</v>
      </c>
      <c r="X12" s="66">
        <v>15</v>
      </c>
      <c r="Y12" s="5">
        <f t="shared" si="4"/>
        <v>6.75</v>
      </c>
    </row>
    <row r="13" spans="1:25" s="2" customFormat="1" ht="12.75">
      <c r="A13" s="1" t="s">
        <v>47</v>
      </c>
      <c r="B13" s="4" t="s">
        <v>104</v>
      </c>
      <c r="C13" s="17">
        <v>1</v>
      </c>
      <c r="D13" s="8">
        <v>45</v>
      </c>
      <c r="E13" s="8">
        <f t="shared" si="0"/>
        <v>45</v>
      </c>
      <c r="F13" s="64" t="s">
        <v>187</v>
      </c>
      <c r="G13" s="70">
        <v>1</v>
      </c>
      <c r="H13" s="70">
        <v>20</v>
      </c>
      <c r="I13" s="70">
        <f>G13*H13</f>
        <v>20</v>
      </c>
      <c r="J13" s="62">
        <v>27</v>
      </c>
      <c r="K13" s="5">
        <v>27</v>
      </c>
      <c r="L13" s="5">
        <f>J13/K13</f>
        <v>1</v>
      </c>
      <c r="M13" s="5">
        <f>1-(1-L13)</f>
        <v>1</v>
      </c>
      <c r="N13" s="5">
        <v>15</v>
      </c>
      <c r="O13" s="5">
        <f>M13*N13</f>
        <v>15</v>
      </c>
      <c r="P13" s="5">
        <f>I13+O13</f>
        <v>35</v>
      </c>
      <c r="Q13" s="67">
        <v>9</v>
      </c>
      <c r="R13" s="4"/>
      <c r="S13" s="55">
        <v>0</v>
      </c>
      <c r="T13" s="14">
        <v>20</v>
      </c>
      <c r="U13" s="5">
        <f t="shared" si="1"/>
        <v>0</v>
      </c>
      <c r="V13" s="5">
        <f t="shared" si="2"/>
        <v>100</v>
      </c>
      <c r="W13" s="4">
        <f t="shared" si="3"/>
        <v>80</v>
      </c>
      <c r="X13" s="66">
        <v>15</v>
      </c>
      <c r="Y13" s="5">
        <f t="shared" si="4"/>
        <v>12</v>
      </c>
    </row>
    <row r="14" spans="1:25" s="2" customFormat="1" ht="12.75">
      <c r="A14" s="1" t="s">
        <v>48</v>
      </c>
      <c r="B14" s="17" t="s">
        <v>104</v>
      </c>
      <c r="C14" s="17">
        <v>1</v>
      </c>
      <c r="D14" s="8">
        <v>45</v>
      </c>
      <c r="E14" s="8">
        <f t="shared" si="0"/>
        <v>45</v>
      </c>
      <c r="F14" s="64" t="s">
        <v>187</v>
      </c>
      <c r="G14" s="62">
        <v>1</v>
      </c>
      <c r="H14" s="62">
        <v>20</v>
      </c>
      <c r="I14" s="62">
        <f>G14*H14</f>
        <v>20</v>
      </c>
      <c r="J14" s="62">
        <v>1</v>
      </c>
      <c r="K14" s="5">
        <v>1</v>
      </c>
      <c r="L14" s="5">
        <f>J14/K14</f>
        <v>1</v>
      </c>
      <c r="M14" s="5">
        <f>1-(1-L14)</f>
        <v>1</v>
      </c>
      <c r="N14" s="5">
        <v>15</v>
      </c>
      <c r="O14" s="5">
        <f>M14*N14</f>
        <v>15</v>
      </c>
      <c r="P14" s="5">
        <f>I14+O14</f>
        <v>35</v>
      </c>
      <c r="Q14" s="67">
        <v>6</v>
      </c>
      <c r="R14" s="55"/>
      <c r="S14" s="55">
        <v>0</v>
      </c>
      <c r="T14" s="14">
        <v>20</v>
      </c>
      <c r="U14" s="5">
        <f t="shared" si="1"/>
        <v>0</v>
      </c>
      <c r="V14" s="5">
        <f t="shared" si="2"/>
        <v>100</v>
      </c>
      <c r="W14" s="4">
        <f t="shared" si="3"/>
        <v>80</v>
      </c>
      <c r="X14" s="66">
        <v>15</v>
      </c>
      <c r="Y14" s="5">
        <f t="shared" si="4"/>
        <v>12</v>
      </c>
    </row>
    <row r="15" s="2" customFormat="1" ht="12.75">
      <c r="W15" s="89"/>
    </row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</sheetData>
  <sheetProtection/>
  <mergeCells count="23">
    <mergeCell ref="W5:W7"/>
    <mergeCell ref="S6:S7"/>
    <mergeCell ref="T6:T7"/>
    <mergeCell ref="Q5:T5"/>
    <mergeCell ref="U5:U7"/>
    <mergeCell ref="Q6:Q7"/>
    <mergeCell ref="R6:R7"/>
    <mergeCell ref="J6:N6"/>
    <mergeCell ref="C6:C7"/>
    <mergeCell ref="V5:V7"/>
    <mergeCell ref="D6:D7"/>
    <mergeCell ref="I6:I7"/>
    <mergeCell ref="O6:O7"/>
    <mergeCell ref="B6:B7"/>
    <mergeCell ref="F6:H6"/>
    <mergeCell ref="A4:A7"/>
    <mergeCell ref="B4:Y4"/>
    <mergeCell ref="B5:D5"/>
    <mergeCell ref="X5:X7"/>
    <mergeCell ref="Y5:Y7"/>
    <mergeCell ref="E5:E7"/>
    <mergeCell ref="F5:O5"/>
    <mergeCell ref="P5:P7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81" r:id="rId3"/>
  <legacyDrawing r:id="rId2"/>
  <oleObjects>
    <oleObject progId="Equation.3" shapeId="3968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4"/>
  <sheetViews>
    <sheetView tabSelected="1" zoomScalePageLayoutView="0" workbookViewId="0" topLeftCell="A4">
      <selection activeCell="E11" sqref="E11"/>
    </sheetView>
  </sheetViews>
  <sheetFormatPr defaultColWidth="9.00390625" defaultRowHeight="12.75"/>
  <cols>
    <col min="1" max="1" width="24.875" style="0" bestFit="1" customWidth="1"/>
    <col min="2" max="5" width="17.25390625" style="0" customWidth="1"/>
  </cols>
  <sheetData>
    <row r="4" spans="1:5" ht="12.75" customHeight="1">
      <c r="A4" s="192" t="s">
        <v>44</v>
      </c>
      <c r="B4" s="19"/>
      <c r="C4" s="19"/>
      <c r="D4" s="19"/>
      <c r="E4" s="19"/>
    </row>
    <row r="5" spans="1:5" ht="12.75" customHeight="1">
      <c r="A5" s="193"/>
      <c r="B5" s="194" t="s">
        <v>58</v>
      </c>
      <c r="C5" s="196" t="s">
        <v>40</v>
      </c>
      <c r="D5" s="198" t="s">
        <v>21</v>
      </c>
      <c r="E5" s="190" t="s">
        <v>41</v>
      </c>
    </row>
    <row r="6" spans="1:5" ht="249" customHeight="1">
      <c r="A6" s="193"/>
      <c r="B6" s="195"/>
      <c r="C6" s="197"/>
      <c r="D6" s="199"/>
      <c r="E6" s="191"/>
    </row>
    <row r="7" spans="1:5" ht="15.75">
      <c r="A7" s="3">
        <v>1</v>
      </c>
      <c r="B7" s="11">
        <v>2</v>
      </c>
      <c r="C7" s="3">
        <v>3</v>
      </c>
      <c r="D7" s="11">
        <v>4</v>
      </c>
      <c r="E7" s="3">
        <v>5</v>
      </c>
    </row>
    <row r="8" spans="1:5" ht="15.75">
      <c r="A8" s="1" t="s">
        <v>46</v>
      </c>
      <c r="B8" s="12">
        <f>SUM('группа 1'!V9+'группа 2'!AN8+'группа 3'!Q8+'группа 4'!J8+'Группа 5'!BB5+'Группа 6'!Z8+'Группа 7'!V8+'Группа 8'!H8+'Группа 9'!L5)</f>
        <v>900</v>
      </c>
      <c r="C8" s="12">
        <f>SUM('группа 1'!W9+'группа 2'!AO8+'группа 3'!R8+'группа 4'!K8+'Группа 5'!BC5+'Группа 6'!AA8+'Группа 7'!W8+'Группа 8'!I8+'Группа 9'!M5)</f>
        <v>608.1131226956313</v>
      </c>
      <c r="D8" s="12">
        <f>SUM('группа 1'!X9+'группа 2'!AP8+'группа 3'!S8+'группа 4'!L8+'Группа 5'!BD5+'Группа 6'!AB8+'Группа 7'!X8+'Группа 8'!J8+'Группа 9'!N5)</f>
        <v>100</v>
      </c>
      <c r="E8" s="12">
        <f>SUM('группа 1'!Y9+'группа 2'!AQ8+'группа 3'!T8+'группа 4'!M8+'Группа 5'!BE5+'Группа 6'!AC8+'Группа 7'!Y8+'Группа 8'!K8+'Группа 9'!O5)</f>
        <v>70.87429120579293</v>
      </c>
    </row>
    <row r="9" spans="1:5" ht="15.75">
      <c r="A9" s="1" t="s">
        <v>131</v>
      </c>
      <c r="B9" s="12">
        <f>SUM('группа 1'!V10+'группа 2'!AN9+'группа 3'!Q9+'группа 4'!J9+'Группа 5'!BB6+'Группа 6'!Z9+'Группа 7'!V9+'Группа 8'!H9+'Группа 9'!L6)</f>
        <v>800</v>
      </c>
      <c r="C9" s="12">
        <f>SUM('группа 1'!W10+'группа 2'!AO9+'группа 3'!R9+'группа 4'!K9+'Группа 5'!BC6+'Группа 6'!AA9+'Группа 7'!W9+'Группа 8'!I9+'Группа 9'!M6)</f>
        <v>744.8220246231399</v>
      </c>
      <c r="D9" s="12">
        <f>SUM('группа 1'!X10+'группа 2'!AP9+'группа 3'!S9+'группа 4'!L9+'Группа 5'!BD6+'Группа 6'!AB9+'Группа 7'!X9+'Группа 8'!J9+'Группа 9'!N6)</f>
        <v>100</v>
      </c>
      <c r="E9" s="12">
        <f>SUM('группа 1'!Y10+'группа 2'!AQ9+'группа 3'!T9+'группа 4'!M9+'Группа 5'!BE6+'Группа 6'!AC9+'Группа 7'!Y9+'Группа 8'!K9+'Группа 9'!O6)</f>
        <v>92.87673529397509</v>
      </c>
    </row>
    <row r="10" spans="1:5" ht="15.75">
      <c r="A10" s="1" t="s">
        <v>49</v>
      </c>
      <c r="B10" s="12">
        <f>SUM('группа 1'!V11+'группа 2'!AN10+'группа 3'!Q10+'группа 4'!J10+'Группа 5'!BB7+'Группа 6'!Z10+'Группа 7'!V10+'Группа 8'!H10+'Группа 9'!L7)</f>
        <v>800</v>
      </c>
      <c r="C10" s="12">
        <f>SUM('группа 1'!W11+'группа 2'!AO10+'группа 3'!R10+'группа 4'!K10+'Группа 5'!BC7+'Группа 6'!AA10+'Группа 7'!W10+'Группа 8'!I10+'Группа 9'!M7)</f>
        <v>753.2657878258269</v>
      </c>
      <c r="D10" s="12">
        <f>SUM('группа 1'!X11+'группа 2'!AP10+'группа 3'!S10+'группа 4'!L10+'Группа 5'!BD7+'Группа 6'!AB10+'Группа 7'!X10+'Группа 8'!J10+'Группа 9'!N7)</f>
        <v>100</v>
      </c>
      <c r="E10" s="12">
        <f>SUM('группа 1'!Y11+'группа 2'!AQ10+'группа 3'!T10+'группа 4'!M10+'Группа 5'!BE7+'Группа 6'!AC10+'Группа 7'!Y10+'Группа 8'!K10+'Группа 9'!O7)</f>
        <v>91.56396256437097</v>
      </c>
    </row>
    <row r="11" spans="1:5" ht="15.75">
      <c r="A11" s="1" t="s">
        <v>50</v>
      </c>
      <c r="B11" s="12">
        <f>SUM('группа 1'!V12+'группа 2'!AN11+'группа 3'!Q11+'группа 4'!J11+'Группа 5'!BB8+'Группа 6'!Z11+'Группа 7'!V11+'Группа 8'!H11+'Группа 9'!L8)</f>
        <v>900</v>
      </c>
      <c r="C11" s="12">
        <f>SUM('группа 1'!W12+'группа 2'!AO11+'группа 3'!R11+'группа 4'!K11+'Группа 5'!BC8+'Группа 6'!AA11+'Группа 7'!W11+'Группа 8'!I11+'Группа 9'!M8)</f>
        <v>677.2973209936679</v>
      </c>
      <c r="D11" s="12">
        <f>SUM('группа 1'!X12+'группа 2'!AP11+'группа 3'!S11+'группа 4'!L11+'Группа 5'!BD8+'Группа 6'!AB11+'Группа 7'!X11+'Группа 8'!J11+'Группа 9'!N8)</f>
        <v>100</v>
      </c>
      <c r="E11" s="12">
        <f>SUM('группа 1'!Y12+'группа 2'!AQ11+'группа 3'!T11+'группа 4'!M11+'Группа 5'!BE8+'Группа 6'!AC11+'Группа 7'!Y11+'Группа 8'!K11+'Группа 9'!O8)</f>
        <v>75.91946419873356</v>
      </c>
    </row>
    <row r="12" spans="1:5" ht="15.75">
      <c r="A12" s="1" t="s">
        <v>47</v>
      </c>
      <c r="B12" s="12">
        <f>SUM('группа 1'!V13+'группа 2'!AN12+'группа 3'!Q12+'группа 4'!J12+'Группа 5'!BB9+'Группа 6'!Z12+'Группа 7'!V12+'Группа 8'!H12+'Группа 9'!L9)</f>
        <v>900</v>
      </c>
      <c r="C12" s="12">
        <f>SUM('группа 1'!W13+'группа 2'!AO12+'группа 3'!R12+'группа 4'!K12+'Группа 5'!BC9+'Группа 6'!AA12+'Группа 7'!W12+'Группа 8'!I12+'Группа 9'!M9)</f>
        <v>738.7810079099731</v>
      </c>
      <c r="D12" s="12">
        <f>SUM('группа 1'!X13+'группа 2'!AP12+'группа 3'!S12+'группа 4'!L12+'Группа 5'!BD9+'Группа 6'!AB12+'Группа 7'!X12+'Группа 8'!J12+'Группа 9'!N9)</f>
        <v>100</v>
      </c>
      <c r="E12" s="12">
        <f>SUM('группа 1'!Y13+'группа 2'!AQ12+'группа 3'!T12+'группа 4'!M12+'Группа 5'!BE9+'Группа 6'!AC12+'Группа 7'!Y12+'Группа 8'!K12+'Группа 9'!O9)</f>
        <v>85.16120158199462</v>
      </c>
    </row>
    <row r="13" spans="1:5" ht="15.75">
      <c r="A13" s="1" t="s">
        <v>48</v>
      </c>
      <c r="B13" s="12">
        <f>SUM('группа 1'!V14+'группа 2'!AN13+'группа 3'!Q13+'группа 4'!J13+'Группа 5'!BB10+'Группа 6'!Z13+'Группа 7'!V13+'Группа 8'!H13+'Группа 9'!L10)</f>
        <v>900</v>
      </c>
      <c r="C13" s="12">
        <f>SUM('группа 1'!W14+'группа 2'!AO13+'группа 3'!R13+'группа 4'!K13+'Группа 5'!BC10+'Группа 6'!AA13+'Группа 7'!W13+'Группа 8'!I13+'Группа 9'!M10)</f>
        <v>742.7314721542668</v>
      </c>
      <c r="D13" s="12">
        <f>SUM('группа 1'!X14+'группа 2'!AP13+'группа 3'!S13+'группа 4'!L13+'Группа 5'!BD10+'Группа 6'!AB13+'Группа 7'!X13+'Группа 8'!J13+'Группа 9'!N10)</f>
        <v>100</v>
      </c>
      <c r="E13" s="12">
        <f>SUM('группа 1'!Y14+'группа 2'!AQ13+'группа 3'!T13+'группа 4'!M13+'Группа 5'!BE10+'Группа 6'!AC13+'Группа 7'!Y13+'Группа 8'!K13+'Группа 9'!O10)</f>
        <v>84.52129443085335</v>
      </c>
    </row>
    <row r="14" spans="1:5" ht="12.75">
      <c r="A14" s="2"/>
      <c r="B14" s="13"/>
      <c r="C14" s="13"/>
      <c r="D14" s="13"/>
      <c r="E14" s="13"/>
    </row>
    <row r="15" spans="1:5" ht="12.75">
      <c r="A15" s="2"/>
      <c r="B15" s="13"/>
      <c r="C15" s="13"/>
      <c r="D15" s="13"/>
      <c r="E15" s="13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</sheetData>
  <sheetProtection/>
  <mergeCells count="5">
    <mergeCell ref="E5:E6"/>
    <mergeCell ref="A4:A6"/>
    <mergeCell ref="B5:B6"/>
    <mergeCell ref="C5:C6"/>
    <mergeCell ref="D5:D6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Q24"/>
  <sheetViews>
    <sheetView view="pageBreakPreview" zoomScaleNormal="73" zoomScaleSheetLayoutView="100" zoomScalePageLayoutView="0" workbookViewId="0" topLeftCell="A1">
      <pane xSplit="1" ySplit="6" topLeftCell="AA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P17" sqref="AP17"/>
    </sheetView>
  </sheetViews>
  <sheetFormatPr defaultColWidth="9.00390625" defaultRowHeight="12.75"/>
  <cols>
    <col min="1" max="1" width="24.875" style="0" bestFit="1" customWidth="1"/>
    <col min="2" max="2" width="11.25390625" style="0" customWidth="1"/>
    <col min="3" max="3" width="10.875" style="0" customWidth="1"/>
    <col min="4" max="4" width="10.625" style="0" customWidth="1"/>
    <col min="5" max="5" width="17.00390625" style="0" customWidth="1"/>
    <col min="6" max="6" width="8.00390625" style="0" customWidth="1"/>
    <col min="7" max="7" width="7.875" style="0" customWidth="1"/>
    <col min="8" max="8" width="10.75390625" style="0" customWidth="1"/>
    <col min="9" max="9" width="11.125" style="0" customWidth="1"/>
    <col min="10" max="10" width="13.625" style="0" customWidth="1"/>
    <col min="11" max="11" width="18.375" style="0" customWidth="1"/>
    <col min="12" max="12" width="8.25390625" style="0" customWidth="1"/>
    <col min="13" max="13" width="7.75390625" style="0" customWidth="1"/>
    <col min="14" max="14" width="11.25390625" style="0" customWidth="1"/>
    <col min="15" max="15" width="9.875" style="0" customWidth="1"/>
    <col min="16" max="16" width="23.00390625" style="0" customWidth="1"/>
    <col min="17" max="20" width="7.75390625" style="0" customWidth="1"/>
    <col min="21" max="21" width="12.25390625" style="0" customWidth="1"/>
    <col min="22" max="23" width="7.75390625" style="0" customWidth="1"/>
    <col min="24" max="24" width="12.875" style="0" customWidth="1"/>
    <col min="25" max="25" width="11.25390625" style="0" customWidth="1"/>
    <col min="26" max="26" width="9.625" style="0" customWidth="1"/>
    <col min="27" max="27" width="17.875" style="0" customWidth="1"/>
    <col min="28" max="28" width="8.125" style="0" customWidth="1"/>
    <col min="29" max="29" width="8.00390625" style="0" customWidth="1"/>
    <col min="30" max="30" width="19.125" style="0" customWidth="1"/>
    <col min="31" max="31" width="21.625" style="0" customWidth="1"/>
    <col min="32" max="32" width="7.75390625" style="0" customWidth="1"/>
    <col min="33" max="33" width="8.125" style="0" customWidth="1"/>
    <col min="34" max="34" width="15.875" style="0" customWidth="1"/>
    <col min="35" max="35" width="12.375" style="0" customWidth="1"/>
    <col min="36" max="36" width="11.875" style="0" customWidth="1"/>
    <col min="37" max="37" width="9.00390625" style="0" customWidth="1"/>
    <col min="38" max="38" width="7.875" style="0" customWidth="1"/>
    <col min="39" max="39" width="7.625" style="0" customWidth="1"/>
    <col min="40" max="40" width="8.125" style="0" customWidth="1"/>
    <col min="41" max="41" width="10.875" style="0" customWidth="1"/>
    <col min="42" max="42" width="8.25390625" style="0" customWidth="1"/>
    <col min="43" max="43" width="9.00390625" style="0" customWidth="1"/>
  </cols>
  <sheetData>
    <row r="4" spans="1:43" ht="12.75">
      <c r="A4" s="147" t="s">
        <v>44</v>
      </c>
      <c r="B4" s="140" t="s">
        <v>53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2"/>
    </row>
    <row r="5" spans="1:43" ht="53.25" customHeight="1">
      <c r="A5" s="147"/>
      <c r="B5" s="148" t="s">
        <v>63</v>
      </c>
      <c r="C5" s="148"/>
      <c r="D5" s="148"/>
      <c r="E5" s="148"/>
      <c r="F5" s="149"/>
      <c r="G5" s="138" t="s">
        <v>56</v>
      </c>
      <c r="H5" s="139" t="s">
        <v>64</v>
      </c>
      <c r="I5" s="139"/>
      <c r="J5" s="139"/>
      <c r="K5" s="139"/>
      <c r="L5" s="139"/>
      <c r="M5" s="143" t="s">
        <v>56</v>
      </c>
      <c r="N5" s="143" t="s">
        <v>129</v>
      </c>
      <c r="O5" s="143"/>
      <c r="P5" s="143"/>
      <c r="Q5" s="143"/>
      <c r="R5" s="143" t="s">
        <v>56</v>
      </c>
      <c r="S5" s="143" t="s">
        <v>151</v>
      </c>
      <c r="T5" s="143"/>
      <c r="U5" s="143"/>
      <c r="V5" s="143"/>
      <c r="W5" s="138" t="s">
        <v>56</v>
      </c>
      <c r="X5" s="144" t="s">
        <v>7</v>
      </c>
      <c r="Y5" s="145"/>
      <c r="Z5" s="145"/>
      <c r="AA5" s="145"/>
      <c r="AB5" s="146"/>
      <c r="AC5" s="138" t="s">
        <v>56</v>
      </c>
      <c r="AD5" s="152" t="s">
        <v>8</v>
      </c>
      <c r="AE5" s="152"/>
      <c r="AF5" s="152"/>
      <c r="AG5" s="138" t="s">
        <v>56</v>
      </c>
      <c r="AH5" s="140" t="s">
        <v>152</v>
      </c>
      <c r="AI5" s="141"/>
      <c r="AJ5" s="141"/>
      <c r="AK5" s="141"/>
      <c r="AL5" s="142"/>
      <c r="AM5" s="138" t="s">
        <v>56</v>
      </c>
      <c r="AN5" s="136" t="s">
        <v>26</v>
      </c>
      <c r="AO5" s="134" t="s">
        <v>57</v>
      </c>
      <c r="AP5" s="150" t="s">
        <v>52</v>
      </c>
      <c r="AQ5" s="153" t="s">
        <v>51</v>
      </c>
    </row>
    <row r="6" spans="1:43" ht="179.25" customHeight="1">
      <c r="A6" s="147"/>
      <c r="B6" s="27" t="s">
        <v>72</v>
      </c>
      <c r="C6" s="27" t="s">
        <v>73</v>
      </c>
      <c r="D6" s="27" t="s">
        <v>78</v>
      </c>
      <c r="E6" s="32" t="s">
        <v>0</v>
      </c>
      <c r="F6" s="28" t="s">
        <v>45</v>
      </c>
      <c r="G6" s="139"/>
      <c r="H6" s="29" t="s">
        <v>74</v>
      </c>
      <c r="I6" s="29" t="s">
        <v>75</v>
      </c>
      <c r="J6" s="29" t="s">
        <v>79</v>
      </c>
      <c r="K6" s="30" t="s">
        <v>1</v>
      </c>
      <c r="L6" s="31" t="s">
        <v>45</v>
      </c>
      <c r="M6" s="143"/>
      <c r="N6" s="27" t="s">
        <v>2</v>
      </c>
      <c r="O6" s="27" t="s">
        <v>3</v>
      </c>
      <c r="P6" s="27" t="s">
        <v>150</v>
      </c>
      <c r="Q6" s="28" t="s">
        <v>45</v>
      </c>
      <c r="R6" s="143"/>
      <c r="S6" s="27" t="s">
        <v>4</v>
      </c>
      <c r="T6" s="27" t="s">
        <v>5</v>
      </c>
      <c r="U6" s="27" t="s">
        <v>6</v>
      </c>
      <c r="V6" s="28" t="s">
        <v>45</v>
      </c>
      <c r="W6" s="139"/>
      <c r="X6" s="27" t="s">
        <v>76</v>
      </c>
      <c r="Y6" s="27" t="s">
        <v>25</v>
      </c>
      <c r="Z6" s="27" t="s">
        <v>77</v>
      </c>
      <c r="AA6" s="26" t="s">
        <v>65</v>
      </c>
      <c r="AB6" s="28" t="s">
        <v>45</v>
      </c>
      <c r="AC6" s="139"/>
      <c r="AD6" s="27" t="s">
        <v>83</v>
      </c>
      <c r="AE6" s="32" t="s">
        <v>87</v>
      </c>
      <c r="AF6" s="28" t="s">
        <v>45</v>
      </c>
      <c r="AG6" s="139"/>
      <c r="AH6" s="37" t="s">
        <v>161</v>
      </c>
      <c r="AI6" s="37" t="s">
        <v>162</v>
      </c>
      <c r="AJ6" s="33" t="s">
        <v>9</v>
      </c>
      <c r="AK6" s="24" t="s">
        <v>15</v>
      </c>
      <c r="AL6" s="31" t="s">
        <v>45</v>
      </c>
      <c r="AM6" s="139"/>
      <c r="AN6" s="137"/>
      <c r="AO6" s="135"/>
      <c r="AP6" s="151"/>
      <c r="AQ6" s="154"/>
    </row>
    <row r="7" spans="1:43" ht="12.75">
      <c r="A7" s="25">
        <v>1</v>
      </c>
      <c r="B7" s="36">
        <v>2</v>
      </c>
      <c r="C7" s="25">
        <v>3</v>
      </c>
      <c r="D7" s="36">
        <v>4</v>
      </c>
      <c r="E7" s="25">
        <v>5</v>
      </c>
      <c r="F7" s="36">
        <v>6</v>
      </c>
      <c r="G7" s="25">
        <v>7</v>
      </c>
      <c r="H7" s="36">
        <v>8</v>
      </c>
      <c r="I7" s="25">
        <v>9</v>
      </c>
      <c r="J7" s="36">
        <v>10</v>
      </c>
      <c r="K7" s="25">
        <v>11</v>
      </c>
      <c r="L7" s="36">
        <v>12</v>
      </c>
      <c r="M7" s="54">
        <v>13</v>
      </c>
      <c r="N7" s="25">
        <v>14</v>
      </c>
      <c r="O7" s="36">
        <v>15</v>
      </c>
      <c r="P7" s="25">
        <v>16</v>
      </c>
      <c r="Q7" s="36">
        <v>17</v>
      </c>
      <c r="R7" s="25">
        <v>18</v>
      </c>
      <c r="S7" s="36">
        <v>19</v>
      </c>
      <c r="T7" s="25">
        <v>20</v>
      </c>
      <c r="U7" s="36">
        <v>21</v>
      </c>
      <c r="V7" s="25">
        <v>22</v>
      </c>
      <c r="W7" s="36">
        <v>23</v>
      </c>
      <c r="X7" s="25">
        <v>24</v>
      </c>
      <c r="Y7" s="36">
        <v>25</v>
      </c>
      <c r="Z7" s="54">
        <v>26</v>
      </c>
      <c r="AA7" s="25">
        <v>27</v>
      </c>
      <c r="AB7" s="36">
        <v>28</v>
      </c>
      <c r="AC7" s="25">
        <v>29</v>
      </c>
      <c r="AD7" s="36">
        <v>30</v>
      </c>
      <c r="AE7" s="25">
        <v>31</v>
      </c>
      <c r="AF7" s="36">
        <v>32</v>
      </c>
      <c r="AG7" s="25">
        <v>33</v>
      </c>
      <c r="AH7" s="36">
        <v>34</v>
      </c>
      <c r="AI7" s="25">
        <v>35</v>
      </c>
      <c r="AJ7" s="36">
        <v>36</v>
      </c>
      <c r="AK7" s="25">
        <v>37</v>
      </c>
      <c r="AL7" s="36">
        <v>38</v>
      </c>
      <c r="AM7" s="54">
        <v>39</v>
      </c>
      <c r="AN7" s="25">
        <v>40</v>
      </c>
      <c r="AO7" s="36">
        <v>41</v>
      </c>
      <c r="AP7" s="25">
        <v>42</v>
      </c>
      <c r="AQ7" s="36">
        <v>43</v>
      </c>
    </row>
    <row r="8" spans="1:43" ht="12.75">
      <c r="A8" s="16" t="s">
        <v>46</v>
      </c>
      <c r="B8" s="72">
        <v>659239.6</v>
      </c>
      <c r="C8" s="71">
        <v>482861.6</v>
      </c>
      <c r="D8" s="59">
        <f aca="true" t="shared" si="0" ref="D8:D13">100*((B8-C8)/B8)</f>
        <v>26.754764125213352</v>
      </c>
      <c r="E8" s="59">
        <v>0</v>
      </c>
      <c r="F8" s="60">
        <v>15</v>
      </c>
      <c r="G8" s="60">
        <f aca="true" t="shared" si="1" ref="G8:G13">E8*F8</f>
        <v>0</v>
      </c>
      <c r="H8" s="73">
        <v>177702.1</v>
      </c>
      <c r="I8" s="73">
        <v>101719.8</v>
      </c>
      <c r="J8" s="59">
        <f aca="true" t="shared" si="2" ref="J8:J13">(H8-I8)*100/I8</f>
        <v>74.69764981842276</v>
      </c>
      <c r="K8" s="59">
        <f>1-((J8-50)/50)</f>
        <v>0.5060470036315448</v>
      </c>
      <c r="L8" s="60">
        <v>15</v>
      </c>
      <c r="M8" s="60">
        <f aca="true" t="shared" si="3" ref="M8:M13">K8*L8</f>
        <v>7.590705054473172</v>
      </c>
      <c r="N8" s="60">
        <v>2</v>
      </c>
      <c r="O8" s="60">
        <v>2</v>
      </c>
      <c r="P8" s="60">
        <v>1</v>
      </c>
      <c r="Q8" s="60">
        <v>15</v>
      </c>
      <c r="R8" s="60">
        <f>P8*Q8</f>
        <v>15</v>
      </c>
      <c r="S8" s="60">
        <v>0</v>
      </c>
      <c r="T8" s="60">
        <f>S8</f>
        <v>0</v>
      </c>
      <c r="U8" s="60">
        <v>1</v>
      </c>
      <c r="V8" s="60">
        <v>15</v>
      </c>
      <c r="W8" s="60">
        <f aca="true" t="shared" si="4" ref="W8:W13">U8*V8</f>
        <v>15</v>
      </c>
      <c r="X8" s="70">
        <v>41.7</v>
      </c>
      <c r="Y8" s="71">
        <v>482861.6</v>
      </c>
      <c r="Z8" s="59">
        <f aca="true" t="shared" si="5" ref="Z8:Z13">100*X8/Y8</f>
        <v>0.008636014957495067</v>
      </c>
      <c r="AA8" s="59">
        <v>1</v>
      </c>
      <c r="AB8" s="60">
        <v>15</v>
      </c>
      <c r="AC8" s="60">
        <f aca="true" t="shared" si="6" ref="AC8:AC13">AA8*AB8</f>
        <v>15</v>
      </c>
      <c r="AD8" s="50" t="s">
        <v>84</v>
      </c>
      <c r="AE8" s="59">
        <v>1</v>
      </c>
      <c r="AF8" s="60">
        <v>10</v>
      </c>
      <c r="AG8" s="60">
        <f aca="true" t="shared" si="7" ref="AG8:AG13">AE8*AF8</f>
        <v>10</v>
      </c>
      <c r="AH8" s="62">
        <v>292457</v>
      </c>
      <c r="AI8" s="62">
        <v>345718.8</v>
      </c>
      <c r="AJ8" s="59">
        <f aca="true" t="shared" si="8" ref="AJ8:AJ13">AH8/AI8*100</f>
        <v>84.59389538549827</v>
      </c>
      <c r="AK8" s="59">
        <f aca="true" t="shared" si="9" ref="AK8:AK13">AJ8/100</f>
        <v>0.8459389538549827</v>
      </c>
      <c r="AL8" s="60">
        <v>15</v>
      </c>
      <c r="AM8" s="60">
        <f aca="true" t="shared" si="10" ref="AM8:AM13">AK8*AL8</f>
        <v>12.689084307824741</v>
      </c>
      <c r="AN8" s="60">
        <f aca="true" t="shared" si="11" ref="AN8:AN13">F8+L8+Q8++V8+AB8+AF8+AL8</f>
        <v>100</v>
      </c>
      <c r="AO8" s="59">
        <f aca="true" t="shared" si="12" ref="AO8:AO13">G8+M8+R8+W8+AC8+AG8+AM8</f>
        <v>75.27978936229792</v>
      </c>
      <c r="AP8" s="66">
        <v>20</v>
      </c>
      <c r="AQ8" s="60">
        <f aca="true" t="shared" si="13" ref="AQ8:AQ13">(AO8*AP8)/100</f>
        <v>15.055957872459585</v>
      </c>
    </row>
    <row r="9" spans="1:43" ht="12.75">
      <c r="A9" s="1" t="s">
        <v>131</v>
      </c>
      <c r="B9" s="72">
        <v>1123.9</v>
      </c>
      <c r="C9" s="71">
        <v>1122</v>
      </c>
      <c r="D9" s="59">
        <f t="shared" si="0"/>
        <v>0.16905418631551655</v>
      </c>
      <c r="E9" s="59">
        <v>1</v>
      </c>
      <c r="F9" s="60">
        <v>17.7</v>
      </c>
      <c r="G9" s="60">
        <f t="shared" si="1"/>
        <v>17.7</v>
      </c>
      <c r="H9" s="73">
        <v>420.1</v>
      </c>
      <c r="I9" s="73">
        <v>234</v>
      </c>
      <c r="J9" s="59">
        <f t="shared" si="2"/>
        <v>79.52991452991455</v>
      </c>
      <c r="K9" s="59">
        <f>1-((J9-50)/50)</f>
        <v>0.40940170940170906</v>
      </c>
      <c r="L9" s="60">
        <v>17.7</v>
      </c>
      <c r="M9" s="60">
        <f t="shared" si="3"/>
        <v>7.24641025641025</v>
      </c>
      <c r="N9" s="60"/>
      <c r="O9" s="60"/>
      <c r="P9" s="60"/>
      <c r="Q9" s="60"/>
      <c r="R9" s="60"/>
      <c r="S9" s="60">
        <v>0</v>
      </c>
      <c r="T9" s="60">
        <v>0</v>
      </c>
      <c r="U9" s="60">
        <v>1</v>
      </c>
      <c r="V9" s="60">
        <v>17.6</v>
      </c>
      <c r="W9" s="60">
        <f t="shared" si="4"/>
        <v>17.6</v>
      </c>
      <c r="X9" s="70">
        <v>0.9</v>
      </c>
      <c r="Y9" s="71">
        <v>1122</v>
      </c>
      <c r="Z9" s="59">
        <f t="shared" si="5"/>
        <v>0.08021390374331551</v>
      </c>
      <c r="AA9" s="59">
        <v>1</v>
      </c>
      <c r="AB9" s="60">
        <v>17.6</v>
      </c>
      <c r="AC9" s="60">
        <f t="shared" si="6"/>
        <v>17.6</v>
      </c>
      <c r="AD9" s="50" t="s">
        <v>84</v>
      </c>
      <c r="AE9" s="59">
        <v>1</v>
      </c>
      <c r="AF9" s="60">
        <v>11.8</v>
      </c>
      <c r="AG9" s="60">
        <f t="shared" si="7"/>
        <v>11.8</v>
      </c>
      <c r="AH9" s="62">
        <v>116.1</v>
      </c>
      <c r="AI9" s="62">
        <v>158.7</v>
      </c>
      <c r="AJ9" s="59">
        <f t="shared" si="8"/>
        <v>73.15689981096408</v>
      </c>
      <c r="AK9" s="59">
        <f t="shared" si="9"/>
        <v>0.7315689981096408</v>
      </c>
      <c r="AL9" s="60">
        <v>17.6</v>
      </c>
      <c r="AM9" s="60">
        <f t="shared" si="10"/>
        <v>12.87561436672968</v>
      </c>
      <c r="AN9" s="60">
        <f t="shared" si="11"/>
        <v>100</v>
      </c>
      <c r="AO9" s="59">
        <f t="shared" si="12"/>
        <v>84.82202462313994</v>
      </c>
      <c r="AP9" s="66">
        <v>21.5</v>
      </c>
      <c r="AQ9" s="60">
        <f t="shared" si="13"/>
        <v>18.236735293975087</v>
      </c>
    </row>
    <row r="10" spans="1:43" s="83" customFormat="1" ht="12.75">
      <c r="A10" s="79" t="s">
        <v>49</v>
      </c>
      <c r="B10" s="98">
        <v>8929.6</v>
      </c>
      <c r="C10" s="99">
        <v>8221.6</v>
      </c>
      <c r="D10" s="80">
        <v>0.92</v>
      </c>
      <c r="E10" s="80">
        <v>1</v>
      </c>
      <c r="F10" s="100">
        <v>17.7</v>
      </c>
      <c r="G10" s="100">
        <f t="shared" si="1"/>
        <v>17.7</v>
      </c>
      <c r="H10" s="101">
        <v>3816.7</v>
      </c>
      <c r="I10" s="101">
        <v>1468.3</v>
      </c>
      <c r="J10" s="80">
        <f t="shared" si="2"/>
        <v>159.9400667438534</v>
      </c>
      <c r="K10" s="80">
        <v>0</v>
      </c>
      <c r="L10" s="100">
        <v>17.7</v>
      </c>
      <c r="M10" s="100">
        <f t="shared" si="3"/>
        <v>0</v>
      </c>
      <c r="N10" s="100"/>
      <c r="O10" s="100"/>
      <c r="P10" s="100"/>
      <c r="Q10" s="100"/>
      <c r="R10" s="100"/>
      <c r="S10" s="100">
        <v>0</v>
      </c>
      <c r="T10" s="100">
        <f>S10</f>
        <v>0</v>
      </c>
      <c r="U10" s="100">
        <v>1</v>
      </c>
      <c r="V10" s="100">
        <v>17.6</v>
      </c>
      <c r="W10" s="100">
        <f t="shared" si="4"/>
        <v>17.6</v>
      </c>
      <c r="X10" s="81">
        <v>6.2</v>
      </c>
      <c r="Y10" s="99">
        <v>8221.6</v>
      </c>
      <c r="Z10" s="80">
        <f t="shared" si="5"/>
        <v>0.075411112192274</v>
      </c>
      <c r="AA10" s="80">
        <v>1</v>
      </c>
      <c r="AB10" s="100">
        <v>17.6</v>
      </c>
      <c r="AC10" s="100">
        <f t="shared" si="6"/>
        <v>17.6</v>
      </c>
      <c r="AD10" s="102" t="s">
        <v>84</v>
      </c>
      <c r="AE10" s="80">
        <v>1</v>
      </c>
      <c r="AF10" s="100">
        <v>11.8</v>
      </c>
      <c r="AG10" s="100">
        <f t="shared" si="7"/>
        <v>11.8</v>
      </c>
      <c r="AH10" s="82">
        <v>513.6</v>
      </c>
      <c r="AI10" s="82">
        <v>972.7</v>
      </c>
      <c r="AJ10" s="80">
        <f t="shared" si="8"/>
        <v>52.80148041533875</v>
      </c>
      <c r="AK10" s="80">
        <f t="shared" si="9"/>
        <v>0.5280148041533875</v>
      </c>
      <c r="AL10" s="100">
        <v>17.6</v>
      </c>
      <c r="AM10" s="100">
        <f t="shared" si="10"/>
        <v>9.293060553099622</v>
      </c>
      <c r="AN10" s="100">
        <f t="shared" si="11"/>
        <v>100</v>
      </c>
      <c r="AO10" s="80">
        <f t="shared" si="12"/>
        <v>73.99306055309962</v>
      </c>
      <c r="AP10" s="103">
        <v>21.5</v>
      </c>
      <c r="AQ10" s="100">
        <f t="shared" si="13"/>
        <v>15.908508018916418</v>
      </c>
    </row>
    <row r="11" spans="1:43" ht="12.75">
      <c r="A11" s="1" t="s">
        <v>50</v>
      </c>
      <c r="B11" s="72">
        <v>105114.8</v>
      </c>
      <c r="C11" s="71">
        <v>104550</v>
      </c>
      <c r="D11" s="59">
        <f t="shared" si="0"/>
        <v>0.5373172949955695</v>
      </c>
      <c r="E11" s="59">
        <v>1</v>
      </c>
      <c r="F11" s="60">
        <v>15</v>
      </c>
      <c r="G11" s="60">
        <f t="shared" si="1"/>
        <v>15</v>
      </c>
      <c r="H11" s="73">
        <v>53184.7</v>
      </c>
      <c r="I11" s="73">
        <v>17121.8</v>
      </c>
      <c r="J11" s="59">
        <f t="shared" si="2"/>
        <v>210.62563515518227</v>
      </c>
      <c r="K11" s="59">
        <v>0</v>
      </c>
      <c r="L11" s="60">
        <v>15</v>
      </c>
      <c r="M11" s="60">
        <f t="shared" si="3"/>
        <v>0</v>
      </c>
      <c r="N11" s="60">
        <v>3</v>
      </c>
      <c r="O11" s="60">
        <v>3</v>
      </c>
      <c r="P11" s="60">
        <v>1</v>
      </c>
      <c r="Q11" s="60">
        <v>15</v>
      </c>
      <c r="R11" s="60">
        <f>P11*Q11</f>
        <v>15</v>
      </c>
      <c r="S11" s="60">
        <v>0</v>
      </c>
      <c r="T11" s="60">
        <f>S11</f>
        <v>0</v>
      </c>
      <c r="U11" s="60">
        <v>1</v>
      </c>
      <c r="V11" s="60">
        <v>15</v>
      </c>
      <c r="W11" s="60">
        <f t="shared" si="4"/>
        <v>15</v>
      </c>
      <c r="X11" s="70">
        <v>1.3</v>
      </c>
      <c r="Y11" s="71">
        <v>104550</v>
      </c>
      <c r="Z11" s="59">
        <f t="shared" si="5"/>
        <v>0.0012434241989478718</v>
      </c>
      <c r="AA11" s="59">
        <v>1</v>
      </c>
      <c r="AB11" s="60">
        <v>15</v>
      </c>
      <c r="AC11" s="60">
        <f t="shared" si="6"/>
        <v>15</v>
      </c>
      <c r="AD11" s="50" t="s">
        <v>84</v>
      </c>
      <c r="AE11" s="59">
        <v>1</v>
      </c>
      <c r="AF11" s="60">
        <v>10</v>
      </c>
      <c r="AG11" s="60">
        <f t="shared" si="7"/>
        <v>10</v>
      </c>
      <c r="AH11" s="62">
        <v>116.3</v>
      </c>
      <c r="AI11" s="62">
        <v>205.3</v>
      </c>
      <c r="AJ11" s="80">
        <f t="shared" si="8"/>
        <v>56.64880662445202</v>
      </c>
      <c r="AK11" s="59">
        <f t="shared" si="9"/>
        <v>0.5664880662445202</v>
      </c>
      <c r="AL11" s="60">
        <v>15</v>
      </c>
      <c r="AM11" s="60">
        <f t="shared" si="10"/>
        <v>8.497320993667802</v>
      </c>
      <c r="AN11" s="60">
        <f t="shared" si="11"/>
        <v>100</v>
      </c>
      <c r="AO11" s="59">
        <f t="shared" si="12"/>
        <v>78.4973209936678</v>
      </c>
      <c r="AP11" s="66">
        <v>20</v>
      </c>
      <c r="AQ11" s="60">
        <f t="shared" si="13"/>
        <v>15.69946419873356</v>
      </c>
    </row>
    <row r="12" spans="1:43" ht="12.75">
      <c r="A12" s="1" t="s">
        <v>47</v>
      </c>
      <c r="B12" s="72">
        <v>526177.2</v>
      </c>
      <c r="C12" s="71">
        <v>525597</v>
      </c>
      <c r="D12" s="59">
        <f t="shared" si="0"/>
        <v>0.11026703551578318</v>
      </c>
      <c r="E12" s="59">
        <v>1</v>
      </c>
      <c r="F12" s="60">
        <v>15</v>
      </c>
      <c r="G12" s="60">
        <f t="shared" si="1"/>
        <v>15</v>
      </c>
      <c r="H12" s="73">
        <v>163853.7</v>
      </c>
      <c r="I12" s="73">
        <v>120581.1</v>
      </c>
      <c r="J12" s="59">
        <f t="shared" si="2"/>
        <v>35.88671856534731</v>
      </c>
      <c r="K12" s="59">
        <v>1</v>
      </c>
      <c r="L12" s="60">
        <v>15</v>
      </c>
      <c r="M12" s="60">
        <f t="shared" si="3"/>
        <v>15</v>
      </c>
      <c r="N12" s="60">
        <v>27</v>
      </c>
      <c r="O12" s="60">
        <v>27</v>
      </c>
      <c r="P12" s="60">
        <v>1</v>
      </c>
      <c r="Q12" s="60">
        <v>15</v>
      </c>
      <c r="R12" s="60">
        <f>P12*Q12</f>
        <v>15</v>
      </c>
      <c r="S12" s="60">
        <v>0</v>
      </c>
      <c r="T12" s="60">
        <f>S12</f>
        <v>0</v>
      </c>
      <c r="U12" s="60">
        <v>1</v>
      </c>
      <c r="V12" s="60">
        <v>15</v>
      </c>
      <c r="W12" s="60">
        <f t="shared" si="4"/>
        <v>15</v>
      </c>
      <c r="X12" s="70">
        <v>184</v>
      </c>
      <c r="Y12" s="71">
        <v>525597</v>
      </c>
      <c r="Z12" s="59">
        <f t="shared" si="5"/>
        <v>0.035007810166344175</v>
      </c>
      <c r="AA12" s="59">
        <v>1</v>
      </c>
      <c r="AB12" s="60">
        <v>15</v>
      </c>
      <c r="AC12" s="60">
        <f t="shared" si="6"/>
        <v>15</v>
      </c>
      <c r="AD12" s="50" t="s">
        <v>84</v>
      </c>
      <c r="AE12" s="59">
        <v>1</v>
      </c>
      <c r="AF12" s="60">
        <v>10</v>
      </c>
      <c r="AG12" s="60">
        <f t="shared" si="7"/>
        <v>10</v>
      </c>
      <c r="AH12" s="82">
        <v>677</v>
      </c>
      <c r="AI12" s="82">
        <v>1226.3</v>
      </c>
      <c r="AJ12" s="59">
        <f t="shared" si="8"/>
        <v>55.2067193998206</v>
      </c>
      <c r="AK12" s="59">
        <f t="shared" si="9"/>
        <v>0.552067193998206</v>
      </c>
      <c r="AL12" s="60">
        <v>15</v>
      </c>
      <c r="AM12" s="60">
        <f t="shared" si="10"/>
        <v>8.281007909973091</v>
      </c>
      <c r="AN12" s="60">
        <f t="shared" si="11"/>
        <v>100</v>
      </c>
      <c r="AO12" s="59">
        <f t="shared" si="12"/>
        <v>93.28100790997308</v>
      </c>
      <c r="AP12" s="66">
        <v>20</v>
      </c>
      <c r="AQ12" s="60">
        <f t="shared" si="13"/>
        <v>18.656201581994615</v>
      </c>
    </row>
    <row r="13" spans="1:43" ht="12.75">
      <c r="A13" s="1" t="s">
        <v>48</v>
      </c>
      <c r="B13" s="72">
        <v>411982</v>
      </c>
      <c r="C13" s="71">
        <v>406272.6</v>
      </c>
      <c r="D13" s="59">
        <f t="shared" si="0"/>
        <v>1.3858372453165486</v>
      </c>
      <c r="E13" s="59">
        <v>1</v>
      </c>
      <c r="F13" s="60">
        <v>15</v>
      </c>
      <c r="G13" s="60">
        <f t="shared" si="1"/>
        <v>15</v>
      </c>
      <c r="H13" s="73">
        <v>108723.5</v>
      </c>
      <c r="I13" s="73">
        <v>99183.03</v>
      </c>
      <c r="J13" s="59">
        <f t="shared" si="2"/>
        <v>9.619054791933662</v>
      </c>
      <c r="K13" s="59">
        <v>1</v>
      </c>
      <c r="L13" s="60">
        <v>15</v>
      </c>
      <c r="M13" s="60">
        <f t="shared" si="3"/>
        <v>15</v>
      </c>
      <c r="N13" s="60">
        <v>1</v>
      </c>
      <c r="O13" s="60">
        <v>1</v>
      </c>
      <c r="P13" s="60">
        <v>1</v>
      </c>
      <c r="Q13" s="60">
        <v>15</v>
      </c>
      <c r="R13" s="60">
        <f>P13*Q13</f>
        <v>15</v>
      </c>
      <c r="S13" s="60">
        <v>0</v>
      </c>
      <c r="T13" s="60">
        <f>S13</f>
        <v>0</v>
      </c>
      <c r="U13" s="60">
        <v>1</v>
      </c>
      <c r="V13" s="60">
        <v>15</v>
      </c>
      <c r="W13" s="60">
        <f t="shared" si="4"/>
        <v>15</v>
      </c>
      <c r="X13" s="70">
        <v>4208.8</v>
      </c>
      <c r="Y13" s="71">
        <v>406272.6</v>
      </c>
      <c r="Z13" s="59">
        <f t="shared" si="5"/>
        <v>1.0359546767367527</v>
      </c>
      <c r="AA13" s="59">
        <v>1</v>
      </c>
      <c r="AB13" s="60">
        <v>15</v>
      </c>
      <c r="AC13" s="60">
        <f t="shared" si="6"/>
        <v>15</v>
      </c>
      <c r="AD13" s="50" t="s">
        <v>84</v>
      </c>
      <c r="AE13" s="59">
        <v>1</v>
      </c>
      <c r="AF13" s="60">
        <v>10</v>
      </c>
      <c r="AG13" s="60">
        <f t="shared" si="7"/>
        <v>10</v>
      </c>
      <c r="AH13" s="62">
        <v>456.4</v>
      </c>
      <c r="AI13" s="62">
        <v>5559.2</v>
      </c>
      <c r="AJ13" s="59">
        <f t="shared" si="8"/>
        <v>8.209814361778674</v>
      </c>
      <c r="AK13" s="59">
        <f t="shared" si="9"/>
        <v>0.08209814361778674</v>
      </c>
      <c r="AL13" s="60">
        <v>15</v>
      </c>
      <c r="AM13" s="60">
        <f t="shared" si="10"/>
        <v>1.231472154266801</v>
      </c>
      <c r="AN13" s="60">
        <f t="shared" si="11"/>
        <v>100</v>
      </c>
      <c r="AO13" s="59">
        <f t="shared" si="12"/>
        <v>86.2314721542668</v>
      </c>
      <c r="AP13" s="66">
        <v>20</v>
      </c>
      <c r="AQ13" s="60">
        <f t="shared" si="13"/>
        <v>17.246294430853357</v>
      </c>
    </row>
    <row r="14" spans="1:43" ht="12.75">
      <c r="A14" s="1"/>
      <c r="C14" s="65"/>
      <c r="D14" s="2"/>
      <c r="E14" s="2"/>
      <c r="F14" s="7"/>
      <c r="G14" s="2"/>
      <c r="H14" s="52"/>
      <c r="I14" s="52"/>
      <c r="J14" s="2"/>
      <c r="K14" s="2"/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"/>
      <c r="AC14" s="2"/>
      <c r="AD14" s="2"/>
      <c r="AE14" s="2"/>
      <c r="AF14" s="2"/>
      <c r="AG14" s="2"/>
      <c r="AH14" s="2"/>
      <c r="AI14" s="2"/>
      <c r="AJ14" s="89"/>
      <c r="AK14" s="90"/>
      <c r="AL14" s="2"/>
      <c r="AM14" s="2"/>
      <c r="AN14" s="2"/>
      <c r="AO14" s="89"/>
      <c r="AP14" s="2"/>
      <c r="AQ14" s="2"/>
    </row>
    <row r="15" spans="1:43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</sheetData>
  <sheetProtection/>
  <mergeCells count="20">
    <mergeCell ref="A4:A6"/>
    <mergeCell ref="H5:L5"/>
    <mergeCell ref="N5:Q5"/>
    <mergeCell ref="R5:R6"/>
    <mergeCell ref="B4:AQ4"/>
    <mergeCell ref="B5:F5"/>
    <mergeCell ref="AP5:AP6"/>
    <mergeCell ref="AD5:AF5"/>
    <mergeCell ref="AG5:AG6"/>
    <mergeCell ref="AQ5:AQ6"/>
    <mergeCell ref="AO5:AO6"/>
    <mergeCell ref="AN5:AN6"/>
    <mergeCell ref="AM5:AM6"/>
    <mergeCell ref="AH5:AL5"/>
    <mergeCell ref="G5:G6"/>
    <mergeCell ref="AC5:AC6"/>
    <mergeCell ref="W5:W6"/>
    <mergeCell ref="S5:V5"/>
    <mergeCell ref="X5:AB5"/>
    <mergeCell ref="M5:M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4" r:id="rId3"/>
  <legacyDrawing r:id="rId2"/>
  <oleObjects>
    <oleObject progId="Equation.3" shapeId="15804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T24"/>
  <sheetViews>
    <sheetView view="pageBreakPreview" zoomScaleNormal="78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C8"/>
    </sheetView>
  </sheetViews>
  <sheetFormatPr defaultColWidth="9.00390625" defaultRowHeight="12.75"/>
  <cols>
    <col min="1" max="1" width="24.875" style="0" bestFit="1" customWidth="1"/>
    <col min="2" max="2" width="15.875" style="0" customWidth="1"/>
    <col min="3" max="3" width="10.875" style="0" customWidth="1"/>
    <col min="4" max="4" width="16.00390625" style="0" customWidth="1"/>
    <col min="5" max="5" width="13.625" style="0" customWidth="1"/>
    <col min="6" max="6" width="28.00390625" style="0" customWidth="1"/>
    <col min="7" max="7" width="7.00390625" style="0" customWidth="1"/>
    <col min="8" max="8" width="10.875" style="0" customWidth="1"/>
    <col min="9" max="9" width="13.875" style="0" customWidth="1"/>
    <col min="10" max="10" width="13.125" style="0" customWidth="1"/>
    <col min="11" max="11" width="12.875" style="0" customWidth="1"/>
    <col min="12" max="12" width="10.00390625" style="0" customWidth="1"/>
    <col min="13" max="13" width="10.875" style="0" customWidth="1"/>
    <col min="14" max="14" width="6.875" style="0" customWidth="1"/>
    <col min="15" max="15" width="8.625" style="0" customWidth="1"/>
    <col min="16" max="16" width="8.375" style="0" customWidth="1"/>
    <col min="17" max="17" width="6.875" style="0" customWidth="1"/>
    <col min="18" max="18" width="10.125" style="0" customWidth="1"/>
    <col min="19" max="19" width="6.125" style="0" customWidth="1"/>
    <col min="20" max="20" width="9.625" style="0" customWidth="1"/>
  </cols>
  <sheetData>
    <row r="4" spans="1:20" ht="12.75">
      <c r="A4" s="155" t="s">
        <v>44</v>
      </c>
      <c r="B4" s="156" t="s">
        <v>54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21"/>
      <c r="R4" s="21"/>
      <c r="S4" s="21"/>
      <c r="T4" s="22"/>
    </row>
    <row r="5" spans="1:20" ht="29.25" customHeight="1">
      <c r="A5" s="155"/>
      <c r="B5" s="159" t="s">
        <v>153</v>
      </c>
      <c r="C5" s="160"/>
      <c r="D5" s="160"/>
      <c r="E5" s="160"/>
      <c r="F5" s="160"/>
      <c r="G5" s="161"/>
      <c r="H5" s="123" t="s">
        <v>56</v>
      </c>
      <c r="I5" s="158" t="s">
        <v>66</v>
      </c>
      <c r="J5" s="158"/>
      <c r="K5" s="158"/>
      <c r="L5" s="158"/>
      <c r="M5" s="158"/>
      <c r="N5" s="158"/>
      <c r="O5" s="158"/>
      <c r="P5" s="158"/>
      <c r="Q5" s="128" t="s">
        <v>30</v>
      </c>
      <c r="R5" s="131" t="s">
        <v>57</v>
      </c>
      <c r="S5" s="117" t="s">
        <v>85</v>
      </c>
      <c r="T5" s="120" t="s">
        <v>51</v>
      </c>
    </row>
    <row r="6" spans="1:20" ht="212.25" customHeight="1">
      <c r="A6" s="155"/>
      <c r="B6" s="27" t="s">
        <v>132</v>
      </c>
      <c r="C6" s="27" t="s">
        <v>133</v>
      </c>
      <c r="D6" s="27" t="s">
        <v>154</v>
      </c>
      <c r="E6" s="27" t="s">
        <v>155</v>
      </c>
      <c r="F6" s="32" t="s">
        <v>156</v>
      </c>
      <c r="G6" s="23" t="s">
        <v>45</v>
      </c>
      <c r="H6" s="125"/>
      <c r="I6" s="33" t="s">
        <v>91</v>
      </c>
      <c r="J6" s="33" t="s">
        <v>29</v>
      </c>
      <c r="K6" s="33" t="s">
        <v>88</v>
      </c>
      <c r="L6" s="57" t="s">
        <v>90</v>
      </c>
      <c r="M6" s="57" t="s">
        <v>89</v>
      </c>
      <c r="N6" s="56" t="s">
        <v>45</v>
      </c>
      <c r="O6" s="58" t="s">
        <v>27</v>
      </c>
      <c r="P6" s="58" t="s">
        <v>28</v>
      </c>
      <c r="Q6" s="130"/>
      <c r="R6" s="133"/>
      <c r="S6" s="119"/>
      <c r="T6" s="122"/>
    </row>
    <row r="7" spans="1:20" ht="12.75">
      <c r="A7" s="34">
        <v>1</v>
      </c>
      <c r="B7" s="25">
        <v>2</v>
      </c>
      <c r="C7" s="34">
        <v>3</v>
      </c>
      <c r="D7" s="25">
        <v>4</v>
      </c>
      <c r="E7" s="34">
        <v>5</v>
      </c>
      <c r="F7" s="25">
        <v>6</v>
      </c>
      <c r="G7" s="34">
        <v>7</v>
      </c>
      <c r="H7" s="25">
        <v>8</v>
      </c>
      <c r="I7" s="34">
        <v>9</v>
      </c>
      <c r="J7" s="25">
        <v>10</v>
      </c>
      <c r="K7" s="34">
        <v>11</v>
      </c>
      <c r="L7" s="25">
        <v>12</v>
      </c>
      <c r="M7" s="34">
        <v>13</v>
      </c>
      <c r="N7" s="25">
        <v>14</v>
      </c>
      <c r="O7" s="34">
        <v>15</v>
      </c>
      <c r="P7" s="25">
        <v>16</v>
      </c>
      <c r="Q7" s="34">
        <v>17</v>
      </c>
      <c r="R7" s="25">
        <v>18</v>
      </c>
      <c r="S7" s="34">
        <v>19</v>
      </c>
      <c r="T7" s="25">
        <v>20</v>
      </c>
    </row>
    <row r="8" spans="1:20" ht="12.75">
      <c r="A8" s="1" t="s">
        <v>46</v>
      </c>
      <c r="B8" s="74">
        <v>5351.8</v>
      </c>
      <c r="C8" s="74">
        <v>1038.9</v>
      </c>
      <c r="D8" s="105">
        <f>100*(B8-C8)/B8</f>
        <v>80.58783960536641</v>
      </c>
      <c r="E8" s="95"/>
      <c r="F8" s="105">
        <v>0</v>
      </c>
      <c r="G8" s="85">
        <v>50</v>
      </c>
      <c r="H8" s="85">
        <f aca="true" t="shared" si="0" ref="H8:H13">F8*G8</f>
        <v>0</v>
      </c>
      <c r="I8" s="81">
        <v>401417.2</v>
      </c>
      <c r="J8" s="105">
        <v>1038.9</v>
      </c>
      <c r="K8" s="4">
        <v>0</v>
      </c>
      <c r="L8" s="4">
        <v>1</v>
      </c>
      <c r="M8" s="4"/>
      <c r="N8" s="5">
        <v>50</v>
      </c>
      <c r="O8" s="5">
        <f aca="true" t="shared" si="1" ref="O8:O13">L8*N8</f>
        <v>50</v>
      </c>
      <c r="P8" s="5">
        <f aca="true" t="shared" si="2" ref="P8:P13">M8*N8</f>
        <v>0</v>
      </c>
      <c r="Q8" s="5">
        <f aca="true" t="shared" si="3" ref="Q8:Q13">N8++G8</f>
        <v>100</v>
      </c>
      <c r="R8" s="4">
        <f aca="true" t="shared" si="4" ref="R8:R13">P8+O8+H8</f>
        <v>50</v>
      </c>
      <c r="S8" s="77">
        <v>7</v>
      </c>
      <c r="T8" s="5">
        <f aca="true" t="shared" si="5" ref="T8:T13">R8*S8/100</f>
        <v>3.5</v>
      </c>
    </row>
    <row r="9" spans="1:20" ht="12.75">
      <c r="A9" s="1" t="s">
        <v>131</v>
      </c>
      <c r="B9" s="74">
        <v>0</v>
      </c>
      <c r="C9" s="74">
        <v>25</v>
      </c>
      <c r="D9" s="84"/>
      <c r="E9" s="84"/>
      <c r="F9" s="104">
        <v>1</v>
      </c>
      <c r="G9" s="85">
        <v>50</v>
      </c>
      <c r="H9" s="85">
        <f t="shared" si="0"/>
        <v>50</v>
      </c>
      <c r="I9" s="81">
        <v>0</v>
      </c>
      <c r="J9" s="105">
        <v>25</v>
      </c>
      <c r="K9" s="4">
        <v>0</v>
      </c>
      <c r="L9" s="4">
        <v>1</v>
      </c>
      <c r="M9" s="4"/>
      <c r="N9" s="5">
        <v>50</v>
      </c>
      <c r="O9" s="5">
        <f t="shared" si="1"/>
        <v>50</v>
      </c>
      <c r="P9" s="5">
        <f t="shared" si="2"/>
        <v>0</v>
      </c>
      <c r="Q9" s="5">
        <f t="shared" si="3"/>
        <v>100</v>
      </c>
      <c r="R9" s="4">
        <f t="shared" si="4"/>
        <v>100</v>
      </c>
      <c r="S9" s="77">
        <v>7.6</v>
      </c>
      <c r="T9" s="5">
        <f t="shared" si="5"/>
        <v>7.6</v>
      </c>
    </row>
    <row r="10" spans="1:20" s="83" customFormat="1" ht="12.75">
      <c r="A10" s="79" t="s">
        <v>49</v>
      </c>
      <c r="B10" s="80"/>
      <c r="C10" s="80"/>
      <c r="D10" s="84"/>
      <c r="E10" s="84"/>
      <c r="F10" s="84">
        <v>1</v>
      </c>
      <c r="G10" s="85">
        <v>50</v>
      </c>
      <c r="H10" s="85">
        <f t="shared" si="0"/>
        <v>50</v>
      </c>
      <c r="I10" s="81">
        <v>279232.1</v>
      </c>
      <c r="J10" s="105">
        <v>0</v>
      </c>
      <c r="K10" s="84">
        <v>0</v>
      </c>
      <c r="L10" s="84">
        <v>1</v>
      </c>
      <c r="M10" s="84"/>
      <c r="N10" s="85">
        <v>50</v>
      </c>
      <c r="O10" s="85">
        <f t="shared" si="1"/>
        <v>50</v>
      </c>
      <c r="P10" s="85">
        <f t="shared" si="2"/>
        <v>0</v>
      </c>
      <c r="Q10" s="85">
        <f t="shared" si="3"/>
        <v>100</v>
      </c>
      <c r="R10" s="84">
        <f t="shared" si="4"/>
        <v>100</v>
      </c>
      <c r="S10" s="77">
        <v>7.6</v>
      </c>
      <c r="T10" s="85">
        <f t="shared" si="5"/>
        <v>7.6</v>
      </c>
    </row>
    <row r="11" spans="1:20" ht="12.75">
      <c r="A11" s="1" t="s">
        <v>50</v>
      </c>
      <c r="B11" s="59"/>
      <c r="C11" s="59"/>
      <c r="D11" s="84"/>
      <c r="E11" s="84"/>
      <c r="F11" s="84">
        <v>1</v>
      </c>
      <c r="G11" s="85">
        <v>50</v>
      </c>
      <c r="H11" s="85">
        <f t="shared" si="0"/>
        <v>50</v>
      </c>
      <c r="I11" s="81">
        <v>31285.7</v>
      </c>
      <c r="J11" s="105">
        <v>0</v>
      </c>
      <c r="K11" s="4">
        <v>0</v>
      </c>
      <c r="L11" s="4">
        <v>1</v>
      </c>
      <c r="M11" s="4"/>
      <c r="N11" s="5">
        <v>50</v>
      </c>
      <c r="O11" s="5">
        <f t="shared" si="1"/>
        <v>50</v>
      </c>
      <c r="P11" s="5">
        <f t="shared" si="2"/>
        <v>0</v>
      </c>
      <c r="Q11" s="5">
        <f t="shared" si="3"/>
        <v>100</v>
      </c>
      <c r="R11" s="4">
        <f t="shared" si="4"/>
        <v>100</v>
      </c>
      <c r="S11" s="77">
        <v>7</v>
      </c>
      <c r="T11" s="5">
        <f t="shared" si="5"/>
        <v>7</v>
      </c>
    </row>
    <row r="12" spans="1:20" ht="12.75">
      <c r="A12" s="1" t="s">
        <v>47</v>
      </c>
      <c r="B12" s="59"/>
      <c r="C12" s="59"/>
      <c r="D12" s="84"/>
      <c r="E12" s="84"/>
      <c r="F12" s="84">
        <v>1</v>
      </c>
      <c r="G12" s="85">
        <v>50</v>
      </c>
      <c r="H12" s="85">
        <f t="shared" si="0"/>
        <v>50</v>
      </c>
      <c r="I12" s="81">
        <v>0</v>
      </c>
      <c r="J12" s="105">
        <v>0</v>
      </c>
      <c r="K12" s="4">
        <v>0</v>
      </c>
      <c r="L12" s="4">
        <v>1</v>
      </c>
      <c r="M12" s="4"/>
      <c r="N12" s="5">
        <v>50</v>
      </c>
      <c r="O12" s="5">
        <f t="shared" si="1"/>
        <v>50</v>
      </c>
      <c r="P12" s="5">
        <f t="shared" si="2"/>
        <v>0</v>
      </c>
      <c r="Q12" s="5">
        <f t="shared" si="3"/>
        <v>100</v>
      </c>
      <c r="R12" s="4">
        <f t="shared" si="4"/>
        <v>100</v>
      </c>
      <c r="S12" s="77">
        <v>7</v>
      </c>
      <c r="T12" s="5">
        <f t="shared" si="5"/>
        <v>7</v>
      </c>
    </row>
    <row r="13" spans="1:20" ht="12.75">
      <c r="A13" s="1" t="s">
        <v>48</v>
      </c>
      <c r="B13" s="59">
        <v>8</v>
      </c>
      <c r="C13" s="59">
        <v>8</v>
      </c>
      <c r="D13" s="84"/>
      <c r="E13" s="84">
        <f>100*(C13-B13)/B13</f>
        <v>0</v>
      </c>
      <c r="F13" s="84">
        <v>1</v>
      </c>
      <c r="G13" s="85">
        <v>50</v>
      </c>
      <c r="H13" s="85">
        <f t="shared" si="0"/>
        <v>50</v>
      </c>
      <c r="I13" s="81">
        <v>1438.6</v>
      </c>
      <c r="J13" s="105">
        <v>8</v>
      </c>
      <c r="K13" s="4">
        <v>0</v>
      </c>
      <c r="L13" s="4">
        <v>1</v>
      </c>
      <c r="M13" s="4"/>
      <c r="N13" s="5">
        <v>50</v>
      </c>
      <c r="O13" s="5">
        <f t="shared" si="1"/>
        <v>50</v>
      </c>
      <c r="P13" s="5">
        <f t="shared" si="2"/>
        <v>0</v>
      </c>
      <c r="Q13" s="5">
        <f t="shared" si="3"/>
        <v>100</v>
      </c>
      <c r="R13" s="4">
        <f t="shared" si="4"/>
        <v>100</v>
      </c>
      <c r="S13" s="77">
        <v>7</v>
      </c>
      <c r="T13" s="5">
        <f t="shared" si="5"/>
        <v>7</v>
      </c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sheetProtection/>
  <mergeCells count="9">
    <mergeCell ref="S5:S6"/>
    <mergeCell ref="T5:T6"/>
    <mergeCell ref="A4:A6"/>
    <mergeCell ref="B4:P4"/>
    <mergeCell ref="R5:R6"/>
    <mergeCell ref="H5:H6"/>
    <mergeCell ref="I5:P5"/>
    <mergeCell ref="Q5:Q6"/>
    <mergeCell ref="B5:G5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4"/>
  <legacyDrawing r:id="rId3"/>
  <oleObjects>
    <oleObject progId="Equation.3" shapeId="1786164" r:id="rId1"/>
    <oleObject progId="Equation.3" shapeId="179087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M24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:L13"/>
    </sheetView>
  </sheetViews>
  <sheetFormatPr defaultColWidth="9.00390625" defaultRowHeight="12.75"/>
  <cols>
    <col min="1" max="1" width="24.875" style="0" bestFit="1" customWidth="1"/>
    <col min="2" max="2" width="18.125" style="0" customWidth="1"/>
    <col min="3" max="3" width="15.75390625" style="0" customWidth="1"/>
    <col min="4" max="4" width="7.75390625" style="0" customWidth="1"/>
    <col min="5" max="5" width="8.75390625" style="0" customWidth="1"/>
    <col min="6" max="6" width="12.625" style="0" customWidth="1"/>
    <col min="7" max="7" width="12.375" style="0" customWidth="1"/>
    <col min="8" max="8" width="6.875" style="0" customWidth="1"/>
    <col min="9" max="9" width="8.75390625" style="0" customWidth="1"/>
    <col min="10" max="11" width="7.375" style="0" customWidth="1"/>
    <col min="12" max="12" width="6.75390625" style="0" customWidth="1"/>
    <col min="13" max="13" width="9.00390625" style="0" customWidth="1"/>
  </cols>
  <sheetData>
    <row r="4" spans="1:13" ht="15.75" customHeight="1">
      <c r="A4" s="155" t="s">
        <v>44</v>
      </c>
      <c r="B4" s="156" t="s">
        <v>169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60" customHeight="1">
      <c r="A5" s="155"/>
      <c r="B5" s="165" t="s">
        <v>134</v>
      </c>
      <c r="C5" s="165"/>
      <c r="D5" s="165"/>
      <c r="E5" s="164" t="s">
        <v>56</v>
      </c>
      <c r="F5" s="162" t="s">
        <v>135</v>
      </c>
      <c r="G5" s="163"/>
      <c r="H5" s="163"/>
      <c r="I5" s="164" t="s">
        <v>56</v>
      </c>
      <c r="J5" s="128" t="s">
        <v>26</v>
      </c>
      <c r="K5" s="131" t="s">
        <v>57</v>
      </c>
      <c r="L5" s="117" t="s">
        <v>85</v>
      </c>
      <c r="M5" s="120" t="s">
        <v>51</v>
      </c>
    </row>
    <row r="6" spans="1:13" ht="138" customHeight="1">
      <c r="A6" s="155"/>
      <c r="B6" s="38" t="s">
        <v>92</v>
      </c>
      <c r="C6" s="38" t="s">
        <v>93</v>
      </c>
      <c r="D6" s="23" t="s">
        <v>45</v>
      </c>
      <c r="E6" s="164"/>
      <c r="F6" s="38" t="s">
        <v>23</v>
      </c>
      <c r="G6" s="38" t="s">
        <v>24</v>
      </c>
      <c r="H6" s="44" t="s">
        <v>45</v>
      </c>
      <c r="I6" s="164"/>
      <c r="J6" s="130"/>
      <c r="K6" s="133"/>
      <c r="L6" s="119"/>
      <c r="M6" s="122"/>
    </row>
    <row r="7" spans="1:13" ht="12.75">
      <c r="A7" s="25">
        <v>1</v>
      </c>
      <c r="B7" s="25">
        <v>2</v>
      </c>
      <c r="C7" s="36">
        <v>3</v>
      </c>
      <c r="D7" s="36">
        <v>4</v>
      </c>
      <c r="E7" s="25">
        <v>5</v>
      </c>
      <c r="F7" s="25">
        <v>6</v>
      </c>
      <c r="G7" s="25">
        <v>7</v>
      </c>
      <c r="H7" s="36">
        <v>8</v>
      </c>
      <c r="I7" s="36">
        <v>9</v>
      </c>
      <c r="J7" s="25">
        <v>10</v>
      </c>
      <c r="K7" s="25">
        <v>11</v>
      </c>
      <c r="L7" s="25">
        <v>12</v>
      </c>
      <c r="M7" s="25">
        <v>13</v>
      </c>
    </row>
    <row r="8" spans="1:13" ht="12.75">
      <c r="A8" s="1" t="s">
        <v>46</v>
      </c>
      <c r="B8" s="25" t="s">
        <v>136</v>
      </c>
      <c r="C8" s="5">
        <v>1</v>
      </c>
      <c r="D8" s="5">
        <v>50</v>
      </c>
      <c r="E8" s="5">
        <f aca="true" t="shared" si="0" ref="E8:E13">C8*D8</f>
        <v>50</v>
      </c>
      <c r="F8" s="47" t="s">
        <v>103</v>
      </c>
      <c r="G8" s="5">
        <v>1</v>
      </c>
      <c r="H8" s="5">
        <v>50</v>
      </c>
      <c r="I8" s="5">
        <f aca="true" t="shared" si="1" ref="I8:I13">G8*H8</f>
        <v>50</v>
      </c>
      <c r="J8" s="5">
        <f aca="true" t="shared" si="2" ref="J8:K13">D8+H8</f>
        <v>100</v>
      </c>
      <c r="K8" s="5">
        <f t="shared" si="2"/>
        <v>100</v>
      </c>
      <c r="L8" s="78">
        <v>15</v>
      </c>
      <c r="M8" s="5">
        <f aca="true" t="shared" si="3" ref="M8:M13">(K8*L8)/100</f>
        <v>15</v>
      </c>
    </row>
    <row r="9" spans="1:13" ht="12.75">
      <c r="A9" s="1" t="s">
        <v>131</v>
      </c>
      <c r="B9" s="25" t="s">
        <v>136</v>
      </c>
      <c r="C9" s="5">
        <v>1</v>
      </c>
      <c r="D9" s="5">
        <v>50</v>
      </c>
      <c r="E9" s="5">
        <f t="shared" si="0"/>
        <v>50</v>
      </c>
      <c r="F9" s="47" t="s">
        <v>103</v>
      </c>
      <c r="G9" s="5">
        <v>1</v>
      </c>
      <c r="H9" s="5">
        <v>50</v>
      </c>
      <c r="I9" s="5">
        <f t="shared" si="1"/>
        <v>50</v>
      </c>
      <c r="J9" s="5">
        <f t="shared" si="2"/>
        <v>100</v>
      </c>
      <c r="K9" s="5">
        <f t="shared" si="2"/>
        <v>100</v>
      </c>
      <c r="L9" s="78">
        <v>16.1</v>
      </c>
      <c r="M9" s="5">
        <f t="shared" si="3"/>
        <v>16.1</v>
      </c>
    </row>
    <row r="10" spans="1:13" ht="12.75">
      <c r="A10" s="1" t="s">
        <v>49</v>
      </c>
      <c r="B10" s="25" t="s">
        <v>136</v>
      </c>
      <c r="C10" s="5">
        <v>1</v>
      </c>
      <c r="D10" s="5">
        <v>50</v>
      </c>
      <c r="E10" s="5">
        <f t="shared" si="0"/>
        <v>50</v>
      </c>
      <c r="F10" s="47" t="s">
        <v>103</v>
      </c>
      <c r="G10" s="5">
        <v>1</v>
      </c>
      <c r="H10" s="5">
        <v>50</v>
      </c>
      <c r="I10" s="5">
        <f t="shared" si="1"/>
        <v>50</v>
      </c>
      <c r="J10" s="5">
        <f t="shared" si="2"/>
        <v>100</v>
      </c>
      <c r="K10" s="5">
        <f t="shared" si="2"/>
        <v>100</v>
      </c>
      <c r="L10" s="78">
        <v>16.1</v>
      </c>
      <c r="M10" s="5">
        <f t="shared" si="3"/>
        <v>16.1</v>
      </c>
    </row>
    <row r="11" spans="1:13" ht="12.75">
      <c r="A11" s="1" t="s">
        <v>50</v>
      </c>
      <c r="B11" s="25" t="s">
        <v>136</v>
      </c>
      <c r="C11" s="5">
        <v>1</v>
      </c>
      <c r="D11" s="5">
        <v>50</v>
      </c>
      <c r="E11" s="5">
        <f t="shared" si="0"/>
        <v>50</v>
      </c>
      <c r="F11" s="47" t="s">
        <v>103</v>
      </c>
      <c r="G11" s="5">
        <v>1</v>
      </c>
      <c r="H11" s="5">
        <v>50</v>
      </c>
      <c r="I11" s="5">
        <f t="shared" si="1"/>
        <v>50</v>
      </c>
      <c r="J11" s="5">
        <f t="shared" si="2"/>
        <v>100</v>
      </c>
      <c r="K11" s="5">
        <f t="shared" si="2"/>
        <v>100</v>
      </c>
      <c r="L11" s="78">
        <v>15</v>
      </c>
      <c r="M11" s="5">
        <f t="shared" si="3"/>
        <v>15</v>
      </c>
    </row>
    <row r="12" spans="1:13" ht="12.75">
      <c r="A12" s="1" t="s">
        <v>47</v>
      </c>
      <c r="B12" s="25" t="s">
        <v>136</v>
      </c>
      <c r="C12" s="5">
        <v>1</v>
      </c>
      <c r="D12" s="5">
        <v>50</v>
      </c>
      <c r="E12" s="5">
        <f t="shared" si="0"/>
        <v>50</v>
      </c>
      <c r="F12" s="47" t="s">
        <v>103</v>
      </c>
      <c r="G12" s="5">
        <v>1</v>
      </c>
      <c r="H12" s="5">
        <v>50</v>
      </c>
      <c r="I12" s="5">
        <f t="shared" si="1"/>
        <v>50</v>
      </c>
      <c r="J12" s="5">
        <f t="shared" si="2"/>
        <v>100</v>
      </c>
      <c r="K12" s="5">
        <f t="shared" si="2"/>
        <v>100</v>
      </c>
      <c r="L12" s="78">
        <v>15</v>
      </c>
      <c r="M12" s="5">
        <f t="shared" si="3"/>
        <v>15</v>
      </c>
    </row>
    <row r="13" spans="1:13" ht="12.75">
      <c r="A13" s="1" t="s">
        <v>48</v>
      </c>
      <c r="B13" s="25" t="s">
        <v>136</v>
      </c>
      <c r="C13" s="5">
        <v>1</v>
      </c>
      <c r="D13" s="5">
        <v>50</v>
      </c>
      <c r="E13" s="5">
        <f t="shared" si="0"/>
        <v>50</v>
      </c>
      <c r="F13" s="47" t="s">
        <v>103</v>
      </c>
      <c r="G13" s="5">
        <v>1</v>
      </c>
      <c r="H13" s="5">
        <v>50</v>
      </c>
      <c r="I13" s="5">
        <f t="shared" si="1"/>
        <v>50</v>
      </c>
      <c r="J13" s="5">
        <f t="shared" si="2"/>
        <v>100</v>
      </c>
      <c r="K13" s="5">
        <f t="shared" si="2"/>
        <v>100</v>
      </c>
      <c r="L13" s="78">
        <v>15</v>
      </c>
      <c r="M13" s="5">
        <f t="shared" si="3"/>
        <v>15</v>
      </c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/>
  <mergeCells count="10">
    <mergeCell ref="A4:A6"/>
    <mergeCell ref="M5:M6"/>
    <mergeCell ref="K5:K6"/>
    <mergeCell ref="L5:L6"/>
    <mergeCell ref="J5:J6"/>
    <mergeCell ref="F5:H5"/>
    <mergeCell ref="I5:I6"/>
    <mergeCell ref="B5:D5"/>
    <mergeCell ref="E5:E6"/>
    <mergeCell ref="B4:M4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827662" r:id="rId1"/>
    <oleObject progId="Equation.3" shapeId="1894974" r:id="rId2"/>
    <oleObject progId="Equation.3" shapeId="190155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E21"/>
  <sheetViews>
    <sheetView zoomScale="85" zoomScaleNormal="85" zoomScaleSheetLayoutView="100" zoomScalePageLayoutView="0" workbookViewId="0" topLeftCell="AG1">
      <selection activeCell="BC5" sqref="BC5:BC10"/>
    </sheetView>
  </sheetViews>
  <sheetFormatPr defaultColWidth="9.00390625" defaultRowHeight="12.75"/>
  <cols>
    <col min="1" max="1" width="24.875" style="0" bestFit="1" customWidth="1"/>
    <col min="2" max="2" width="25.125" style="0" customWidth="1"/>
    <col min="3" max="3" width="13.75390625" style="0" customWidth="1"/>
    <col min="4" max="4" width="7.625" style="0" customWidth="1"/>
    <col min="5" max="5" width="8.625" style="0" customWidth="1"/>
    <col min="6" max="6" width="20.125" style="0" customWidth="1"/>
    <col min="7" max="7" width="15.875" style="0" customWidth="1"/>
    <col min="8" max="8" width="14.25390625" style="0" customWidth="1"/>
    <col min="9" max="9" width="16.125" style="0" customWidth="1"/>
    <col min="10" max="10" width="8.125" style="0" customWidth="1"/>
    <col min="11" max="11" width="8.375" style="0" customWidth="1"/>
    <col min="12" max="12" width="16.125" style="0" customWidth="1"/>
    <col min="13" max="13" width="14.625" style="0" customWidth="1"/>
    <col min="14" max="14" width="8.375" style="0" customWidth="1"/>
    <col min="15" max="15" width="27.00390625" style="0" customWidth="1"/>
    <col min="16" max="17" width="8.00390625" style="0" customWidth="1"/>
    <col min="18" max="18" width="16.375" style="0" customWidth="1"/>
    <col min="19" max="19" width="14.875" style="0" customWidth="1"/>
    <col min="20" max="21" width="8.00390625" style="0" customWidth="1"/>
    <col min="22" max="22" width="24.25390625" style="0" customWidth="1"/>
    <col min="23" max="23" width="27.75390625" style="0" customWidth="1"/>
    <col min="24" max="24" width="11.25390625" style="0" customWidth="1"/>
    <col min="25" max="25" width="8.25390625" style="0" customWidth="1"/>
    <col min="26" max="26" width="13.125" style="0" customWidth="1"/>
    <col min="27" max="27" width="29.625" style="0" customWidth="1"/>
    <col min="28" max="28" width="8.00390625" style="0" customWidth="1"/>
    <col min="29" max="29" width="8.125" style="0" customWidth="1"/>
    <col min="30" max="30" width="15.00390625" style="0" customWidth="1"/>
    <col min="31" max="31" width="31.625" style="0" customWidth="1"/>
    <col min="32" max="52" width="10.75390625" style="0" customWidth="1"/>
    <col min="53" max="53" width="8.125" style="0" customWidth="1"/>
    <col min="54" max="54" width="12.25390625" style="0" customWidth="1"/>
    <col min="55" max="55" width="9.75390625" style="0" customWidth="1"/>
    <col min="56" max="56" width="6.75390625" style="0" customWidth="1"/>
    <col min="57" max="57" width="9.25390625" style="0" customWidth="1"/>
  </cols>
  <sheetData>
    <row r="1" spans="1:57" ht="12.75">
      <c r="A1" s="155" t="s">
        <v>44</v>
      </c>
      <c r="B1" s="156" t="s">
        <v>55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66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39"/>
      <c r="BC1" s="39"/>
      <c r="BD1" s="39"/>
      <c r="BE1" s="39"/>
    </row>
    <row r="2" spans="1:57" ht="48.75" customHeight="1">
      <c r="A2" s="155"/>
      <c r="B2" s="176" t="s">
        <v>137</v>
      </c>
      <c r="C2" s="177"/>
      <c r="D2" s="178"/>
      <c r="E2" s="123" t="s">
        <v>56</v>
      </c>
      <c r="F2" s="173" t="s">
        <v>140</v>
      </c>
      <c r="G2" s="174"/>
      <c r="H2" s="174"/>
      <c r="I2" s="174"/>
      <c r="J2" s="175"/>
      <c r="K2" s="123" t="s">
        <v>56</v>
      </c>
      <c r="L2" s="167" t="s">
        <v>157</v>
      </c>
      <c r="M2" s="168"/>
      <c r="N2" s="168"/>
      <c r="O2" s="168"/>
      <c r="P2" s="169"/>
      <c r="Q2" s="123" t="s">
        <v>56</v>
      </c>
      <c r="R2" s="167" t="s">
        <v>122</v>
      </c>
      <c r="S2" s="168"/>
      <c r="T2" s="168"/>
      <c r="U2" s="123" t="s">
        <v>56</v>
      </c>
      <c r="V2" s="156" t="s">
        <v>125</v>
      </c>
      <c r="W2" s="157"/>
      <c r="X2" s="157"/>
      <c r="Y2" s="123" t="s">
        <v>56</v>
      </c>
      <c r="Z2" s="156" t="s">
        <v>160</v>
      </c>
      <c r="AA2" s="157"/>
      <c r="AB2" s="166"/>
      <c r="AC2" s="123" t="s">
        <v>56</v>
      </c>
      <c r="AD2" s="170" t="s">
        <v>172</v>
      </c>
      <c r="AE2" s="171"/>
      <c r="AF2" s="172"/>
      <c r="AG2" s="123" t="s">
        <v>56</v>
      </c>
      <c r="AH2" s="179" t="s">
        <v>174</v>
      </c>
      <c r="AI2" s="180"/>
      <c r="AJ2" s="181"/>
      <c r="AK2" s="123" t="s">
        <v>56</v>
      </c>
      <c r="AL2" s="179" t="s">
        <v>177</v>
      </c>
      <c r="AM2" s="180"/>
      <c r="AN2" s="181"/>
      <c r="AO2" s="123" t="s">
        <v>56</v>
      </c>
      <c r="AP2" s="179" t="s">
        <v>180</v>
      </c>
      <c r="AQ2" s="180"/>
      <c r="AR2" s="181"/>
      <c r="AS2" s="123" t="s">
        <v>56</v>
      </c>
      <c r="AT2" s="179" t="s">
        <v>182</v>
      </c>
      <c r="AU2" s="180"/>
      <c r="AV2" s="181"/>
      <c r="AW2" s="123" t="s">
        <v>56</v>
      </c>
      <c r="AX2" s="179" t="s">
        <v>184</v>
      </c>
      <c r="AY2" s="180"/>
      <c r="AZ2" s="181"/>
      <c r="BA2" s="123" t="s">
        <v>56</v>
      </c>
      <c r="BB2" s="128" t="s">
        <v>58</v>
      </c>
      <c r="BC2" s="131" t="s">
        <v>57</v>
      </c>
      <c r="BD2" s="117" t="s">
        <v>85</v>
      </c>
      <c r="BE2" s="120" t="s">
        <v>51</v>
      </c>
    </row>
    <row r="3" spans="1:57" ht="290.25" customHeight="1">
      <c r="A3" s="155"/>
      <c r="B3" s="20" t="s">
        <v>138</v>
      </c>
      <c r="C3" s="24" t="s">
        <v>139</v>
      </c>
      <c r="D3" s="23" t="s">
        <v>45</v>
      </c>
      <c r="E3" s="125"/>
      <c r="F3" s="20" t="s">
        <v>142</v>
      </c>
      <c r="G3" s="20" t="s">
        <v>141</v>
      </c>
      <c r="H3" s="20" t="s">
        <v>158</v>
      </c>
      <c r="I3" s="24" t="s">
        <v>10</v>
      </c>
      <c r="J3" s="23" t="s">
        <v>45</v>
      </c>
      <c r="K3" s="125"/>
      <c r="L3" s="33" t="s">
        <v>143</v>
      </c>
      <c r="M3" s="33" t="s">
        <v>120</v>
      </c>
      <c r="N3" s="33" t="s">
        <v>121</v>
      </c>
      <c r="O3" s="33" t="s">
        <v>159</v>
      </c>
      <c r="P3" s="23" t="s">
        <v>45</v>
      </c>
      <c r="Q3" s="125"/>
      <c r="R3" s="33" t="s">
        <v>123</v>
      </c>
      <c r="S3" s="33" t="s">
        <v>124</v>
      </c>
      <c r="T3" s="23" t="s">
        <v>45</v>
      </c>
      <c r="U3" s="125"/>
      <c r="V3" s="20" t="s">
        <v>170</v>
      </c>
      <c r="W3" s="24" t="s">
        <v>171</v>
      </c>
      <c r="X3" s="23" t="s">
        <v>45</v>
      </c>
      <c r="Y3" s="125"/>
      <c r="Z3" s="20" t="s">
        <v>67</v>
      </c>
      <c r="AA3" s="24" t="s">
        <v>68</v>
      </c>
      <c r="AB3" s="23" t="s">
        <v>45</v>
      </c>
      <c r="AC3" s="125"/>
      <c r="AD3" s="69" t="s">
        <v>173</v>
      </c>
      <c r="AE3" s="75" t="s">
        <v>163</v>
      </c>
      <c r="AF3" s="23" t="s">
        <v>45</v>
      </c>
      <c r="AG3" s="125"/>
      <c r="AH3" s="54" t="s">
        <v>175</v>
      </c>
      <c r="AI3" s="75" t="s">
        <v>176</v>
      </c>
      <c r="AJ3" s="23" t="s">
        <v>45</v>
      </c>
      <c r="AK3" s="125"/>
      <c r="AL3" s="54" t="s">
        <v>178</v>
      </c>
      <c r="AM3" s="75" t="s">
        <v>179</v>
      </c>
      <c r="AN3" s="23" t="s">
        <v>45</v>
      </c>
      <c r="AO3" s="125"/>
      <c r="AP3" s="54" t="s">
        <v>181</v>
      </c>
      <c r="AQ3" s="75" t="s">
        <v>179</v>
      </c>
      <c r="AR3" s="23" t="s">
        <v>45</v>
      </c>
      <c r="AS3" s="125"/>
      <c r="AT3" s="54" t="s">
        <v>183</v>
      </c>
      <c r="AU3" s="75" t="s">
        <v>179</v>
      </c>
      <c r="AV3" s="23" t="s">
        <v>45</v>
      </c>
      <c r="AW3" s="125"/>
      <c r="AX3" s="54" t="s">
        <v>185</v>
      </c>
      <c r="AY3" s="75" t="s">
        <v>179</v>
      </c>
      <c r="AZ3" s="23" t="s">
        <v>45</v>
      </c>
      <c r="BA3" s="125"/>
      <c r="BB3" s="130"/>
      <c r="BC3" s="133"/>
      <c r="BD3" s="119"/>
      <c r="BE3" s="122"/>
    </row>
    <row r="4" spans="1:57" ht="12.7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  <c r="O4" s="25">
        <v>15</v>
      </c>
      <c r="P4" s="25">
        <v>16</v>
      </c>
      <c r="Q4" s="25">
        <v>17</v>
      </c>
      <c r="R4" s="25">
        <v>18</v>
      </c>
      <c r="S4" s="25">
        <v>19</v>
      </c>
      <c r="T4" s="25">
        <v>20</v>
      </c>
      <c r="U4" s="25">
        <v>21</v>
      </c>
      <c r="V4" s="25">
        <v>22</v>
      </c>
      <c r="W4" s="25">
        <v>23</v>
      </c>
      <c r="X4" s="25">
        <v>24</v>
      </c>
      <c r="Y4" s="25">
        <v>25</v>
      </c>
      <c r="Z4" s="25">
        <v>26</v>
      </c>
      <c r="AA4" s="25">
        <v>27</v>
      </c>
      <c r="AB4" s="25">
        <v>28</v>
      </c>
      <c r="AC4" s="25">
        <v>29</v>
      </c>
      <c r="AD4" s="25">
        <v>30</v>
      </c>
      <c r="AE4" s="25">
        <v>31</v>
      </c>
      <c r="AF4" s="25">
        <v>32</v>
      </c>
      <c r="AG4" s="25">
        <v>33</v>
      </c>
      <c r="AH4" s="25">
        <v>34</v>
      </c>
      <c r="AI4" s="25">
        <v>35</v>
      </c>
      <c r="AJ4" s="25">
        <v>36</v>
      </c>
      <c r="AK4" s="25">
        <v>37</v>
      </c>
      <c r="AL4" s="25">
        <v>38</v>
      </c>
      <c r="AM4" s="25">
        <v>39</v>
      </c>
      <c r="AN4" s="25">
        <v>40</v>
      </c>
      <c r="AO4" s="25">
        <v>41</v>
      </c>
      <c r="AP4" s="25">
        <v>42</v>
      </c>
      <c r="AQ4" s="25">
        <v>43</v>
      </c>
      <c r="AR4" s="25">
        <v>44</v>
      </c>
      <c r="AS4" s="25">
        <v>45</v>
      </c>
      <c r="AT4" s="25">
        <v>46</v>
      </c>
      <c r="AU4" s="25">
        <v>47</v>
      </c>
      <c r="AV4" s="25">
        <v>48</v>
      </c>
      <c r="AW4" s="25">
        <v>49</v>
      </c>
      <c r="AX4" s="25">
        <v>50</v>
      </c>
      <c r="AY4" s="25">
        <v>51</v>
      </c>
      <c r="AZ4" s="25">
        <v>52</v>
      </c>
      <c r="BA4" s="25">
        <v>53</v>
      </c>
      <c r="BB4" s="25">
        <v>54</v>
      </c>
      <c r="BC4" s="25">
        <v>55</v>
      </c>
      <c r="BD4" s="25">
        <v>56</v>
      </c>
      <c r="BE4" s="25">
        <v>57</v>
      </c>
    </row>
    <row r="5" spans="1:57" ht="12.75">
      <c r="A5" s="1" t="s">
        <v>46</v>
      </c>
      <c r="B5" s="6"/>
      <c r="C5" s="4"/>
      <c r="D5" s="5">
        <v>0</v>
      </c>
      <c r="E5" s="5">
        <f aca="true" t="shared" si="0" ref="E5:E10">C5*D5</f>
        <v>0</v>
      </c>
      <c r="F5" s="62">
        <v>0</v>
      </c>
      <c r="G5" s="62">
        <v>0</v>
      </c>
      <c r="H5" s="6">
        <v>0</v>
      </c>
      <c r="I5" s="4">
        <v>0</v>
      </c>
      <c r="J5" s="5">
        <v>9</v>
      </c>
      <c r="K5" s="5">
        <f aca="true" t="shared" si="1" ref="K5:K10">I5*J5</f>
        <v>0</v>
      </c>
      <c r="L5" s="70">
        <v>56</v>
      </c>
      <c r="M5" s="70">
        <v>2951</v>
      </c>
      <c r="N5" s="5">
        <f aca="true" t="shared" si="2" ref="N5:N10">100*L5/M5</f>
        <v>1.8976618095560827</v>
      </c>
      <c r="O5" s="93">
        <v>0.5</v>
      </c>
      <c r="P5" s="5">
        <v>9</v>
      </c>
      <c r="Q5" s="5">
        <f aca="true" t="shared" si="3" ref="Q5:Q10">O5*P5</f>
        <v>4.5</v>
      </c>
      <c r="R5" s="5">
        <v>0</v>
      </c>
      <c r="S5" s="5">
        <v>1</v>
      </c>
      <c r="T5" s="5">
        <v>9</v>
      </c>
      <c r="U5" s="5">
        <f aca="true" t="shared" si="4" ref="U5:U10">S5*T5</f>
        <v>9</v>
      </c>
      <c r="V5" s="6" t="s">
        <v>80</v>
      </c>
      <c r="W5" s="4">
        <v>1</v>
      </c>
      <c r="X5" s="5">
        <v>7</v>
      </c>
      <c r="Y5" s="5">
        <f aca="true" t="shared" si="5" ref="Y5:Y10">W5*X5</f>
        <v>7</v>
      </c>
      <c r="Z5" s="96" t="s">
        <v>80</v>
      </c>
      <c r="AA5" s="108">
        <v>1</v>
      </c>
      <c r="AB5" s="5">
        <v>10</v>
      </c>
      <c r="AC5" s="5">
        <f aca="true" t="shared" si="6" ref="AC5:AC10">AA5*AB5</f>
        <v>10</v>
      </c>
      <c r="AD5" s="5"/>
      <c r="AE5" s="93">
        <v>1</v>
      </c>
      <c r="AF5" s="5">
        <v>10</v>
      </c>
      <c r="AG5" s="5">
        <f aca="true" t="shared" si="7" ref="AG5:AG10">AE5*AF5</f>
        <v>10</v>
      </c>
      <c r="AH5" s="5"/>
      <c r="AI5" s="5">
        <v>1</v>
      </c>
      <c r="AJ5" s="5">
        <v>10</v>
      </c>
      <c r="AK5" s="5">
        <f aca="true" t="shared" si="8" ref="AK5:AK10">AI5*AJ5</f>
        <v>10</v>
      </c>
      <c r="AL5" s="5"/>
      <c r="AM5" s="5">
        <v>1</v>
      </c>
      <c r="AN5" s="5">
        <v>9</v>
      </c>
      <c r="AO5" s="5">
        <f aca="true" t="shared" si="9" ref="AO5:AO10">AM5*AN5</f>
        <v>9</v>
      </c>
      <c r="AP5" s="5"/>
      <c r="AQ5" s="5">
        <v>1</v>
      </c>
      <c r="AR5" s="5">
        <v>9</v>
      </c>
      <c r="AS5" s="5">
        <f aca="true" t="shared" si="10" ref="AS5:AS10">AQ5*AR5</f>
        <v>9</v>
      </c>
      <c r="AT5" s="5"/>
      <c r="AU5" s="5">
        <v>1</v>
      </c>
      <c r="AV5" s="5">
        <v>9</v>
      </c>
      <c r="AW5" s="5">
        <f aca="true" t="shared" si="11" ref="AW5:AW10">AU5*AV5</f>
        <v>9</v>
      </c>
      <c r="AX5" s="5"/>
      <c r="AY5" s="5">
        <v>1</v>
      </c>
      <c r="AZ5" s="5">
        <v>9</v>
      </c>
      <c r="BA5" s="5">
        <f aca="true" t="shared" si="12" ref="BA5:BA10">AY5*AZ5</f>
        <v>9</v>
      </c>
      <c r="BB5" s="5">
        <f aca="true" t="shared" si="13" ref="BB5:BB10">D5+J5+P5+T5+X5+AB5+AF5+AJ5+AN5+AR5+AV5+AZ5</f>
        <v>100</v>
      </c>
      <c r="BC5" s="5">
        <f aca="true" t="shared" si="14" ref="BC5:BC10">E5+K5+Q5+U5+Y5+AC5+AG5+AK5+AO5+AS5+AW5+BA5</f>
        <v>86.5</v>
      </c>
      <c r="BD5" s="5">
        <v>15</v>
      </c>
      <c r="BE5" s="5">
        <f aca="true" t="shared" si="15" ref="BE5:BE10">(BC5*BD5)/100</f>
        <v>12.975</v>
      </c>
    </row>
    <row r="6" spans="1:57" ht="12.75">
      <c r="A6" s="1" t="s">
        <v>131</v>
      </c>
      <c r="B6" s="6"/>
      <c r="C6" s="4"/>
      <c r="D6" s="5">
        <v>0</v>
      </c>
      <c r="E6" s="5">
        <f t="shared" si="0"/>
        <v>0</v>
      </c>
      <c r="F6" s="62">
        <v>0</v>
      </c>
      <c r="G6" s="62">
        <v>0</v>
      </c>
      <c r="H6" s="6">
        <v>0</v>
      </c>
      <c r="I6" s="4">
        <v>0</v>
      </c>
      <c r="J6" s="5">
        <v>10</v>
      </c>
      <c r="K6" s="5">
        <f t="shared" si="1"/>
        <v>0</v>
      </c>
      <c r="L6" s="70">
        <v>0</v>
      </c>
      <c r="M6" s="70">
        <v>256</v>
      </c>
      <c r="N6" s="5">
        <f t="shared" si="2"/>
        <v>0</v>
      </c>
      <c r="O6" s="93">
        <v>1</v>
      </c>
      <c r="P6" s="5">
        <v>10</v>
      </c>
      <c r="Q6" s="5">
        <f t="shared" si="3"/>
        <v>10</v>
      </c>
      <c r="R6" s="5">
        <v>0</v>
      </c>
      <c r="S6" s="5">
        <v>1</v>
      </c>
      <c r="T6" s="5">
        <v>10</v>
      </c>
      <c r="U6" s="5">
        <f t="shared" si="4"/>
        <v>10</v>
      </c>
      <c r="V6" s="6" t="s">
        <v>80</v>
      </c>
      <c r="W6" s="4">
        <v>1</v>
      </c>
      <c r="X6" s="5">
        <v>9</v>
      </c>
      <c r="Y6" s="5">
        <f t="shared" si="5"/>
        <v>9</v>
      </c>
      <c r="Z6" s="96"/>
      <c r="AA6" s="108"/>
      <c r="AB6" s="5"/>
      <c r="AC6" s="5"/>
      <c r="AD6" s="5"/>
      <c r="AE6" s="93">
        <v>1</v>
      </c>
      <c r="AF6" s="5">
        <v>11</v>
      </c>
      <c r="AG6" s="5">
        <f t="shared" si="7"/>
        <v>11</v>
      </c>
      <c r="AH6" s="5"/>
      <c r="AI6" s="5">
        <v>1</v>
      </c>
      <c r="AJ6" s="5">
        <v>11</v>
      </c>
      <c r="AK6" s="5">
        <f t="shared" si="8"/>
        <v>11</v>
      </c>
      <c r="AL6" s="5"/>
      <c r="AM6" s="5">
        <v>1</v>
      </c>
      <c r="AN6" s="5">
        <v>10</v>
      </c>
      <c r="AO6" s="5">
        <f t="shared" si="9"/>
        <v>10</v>
      </c>
      <c r="AP6" s="5"/>
      <c r="AQ6" s="5">
        <v>1</v>
      </c>
      <c r="AR6" s="5">
        <v>10</v>
      </c>
      <c r="AS6" s="5">
        <f t="shared" si="10"/>
        <v>10</v>
      </c>
      <c r="AT6" s="5"/>
      <c r="AU6" s="5">
        <v>1</v>
      </c>
      <c r="AV6" s="5">
        <v>10</v>
      </c>
      <c r="AW6" s="5">
        <f t="shared" si="11"/>
        <v>10</v>
      </c>
      <c r="AX6" s="5"/>
      <c r="AY6" s="5">
        <v>1</v>
      </c>
      <c r="AZ6" s="5">
        <v>9</v>
      </c>
      <c r="BA6" s="5">
        <f t="shared" si="12"/>
        <v>9</v>
      </c>
      <c r="BB6" s="5">
        <f t="shared" si="13"/>
        <v>100</v>
      </c>
      <c r="BC6" s="5">
        <f t="shared" si="14"/>
        <v>90</v>
      </c>
      <c r="BD6" s="5">
        <v>16.1</v>
      </c>
      <c r="BE6" s="5">
        <f t="shared" si="15"/>
        <v>14.490000000000002</v>
      </c>
    </row>
    <row r="7" spans="1:57" s="83" customFormat="1" ht="12.75">
      <c r="A7" s="79" t="s">
        <v>49</v>
      </c>
      <c r="B7" s="86"/>
      <c r="C7" s="84"/>
      <c r="D7" s="85">
        <v>0</v>
      </c>
      <c r="E7" s="85">
        <f t="shared" si="0"/>
        <v>0</v>
      </c>
      <c r="F7" s="82">
        <v>0</v>
      </c>
      <c r="G7" s="82">
        <v>0</v>
      </c>
      <c r="H7" s="86">
        <v>0</v>
      </c>
      <c r="I7" s="84">
        <v>0</v>
      </c>
      <c r="J7" s="85">
        <v>10</v>
      </c>
      <c r="K7" s="85">
        <f t="shared" si="1"/>
        <v>0</v>
      </c>
      <c r="L7" s="81">
        <v>3</v>
      </c>
      <c r="M7" s="81">
        <v>342</v>
      </c>
      <c r="N7" s="85">
        <f t="shared" si="2"/>
        <v>0.8771929824561403</v>
      </c>
      <c r="O7" s="94">
        <v>0.5</v>
      </c>
      <c r="P7" s="85">
        <v>10</v>
      </c>
      <c r="Q7" s="85">
        <f t="shared" si="3"/>
        <v>5</v>
      </c>
      <c r="R7" s="85">
        <v>0</v>
      </c>
      <c r="S7" s="85">
        <v>1</v>
      </c>
      <c r="T7" s="85">
        <v>10</v>
      </c>
      <c r="U7" s="85">
        <f t="shared" si="4"/>
        <v>10</v>
      </c>
      <c r="V7" s="86" t="s">
        <v>80</v>
      </c>
      <c r="W7" s="84">
        <v>1</v>
      </c>
      <c r="X7" s="85">
        <v>9</v>
      </c>
      <c r="Y7" s="85">
        <f t="shared" si="5"/>
        <v>9</v>
      </c>
      <c r="Z7" s="97"/>
      <c r="AA7" s="95"/>
      <c r="AB7" s="85"/>
      <c r="AC7" s="85"/>
      <c r="AD7" s="85"/>
      <c r="AE7" s="94">
        <v>1</v>
      </c>
      <c r="AF7" s="85">
        <v>11</v>
      </c>
      <c r="AG7" s="85">
        <f t="shared" si="7"/>
        <v>11</v>
      </c>
      <c r="AH7" s="85"/>
      <c r="AI7" s="85">
        <v>1</v>
      </c>
      <c r="AJ7" s="85">
        <v>11</v>
      </c>
      <c r="AK7" s="85">
        <f t="shared" si="8"/>
        <v>11</v>
      </c>
      <c r="AL7" s="85"/>
      <c r="AM7" s="85">
        <v>1</v>
      </c>
      <c r="AN7" s="85">
        <v>10</v>
      </c>
      <c r="AO7" s="85">
        <f t="shared" si="9"/>
        <v>10</v>
      </c>
      <c r="AP7" s="85"/>
      <c r="AQ7" s="85">
        <v>1</v>
      </c>
      <c r="AR7" s="85">
        <v>10</v>
      </c>
      <c r="AS7" s="85">
        <f t="shared" si="10"/>
        <v>10</v>
      </c>
      <c r="AT7" s="85"/>
      <c r="AU7" s="85">
        <v>1</v>
      </c>
      <c r="AV7" s="85">
        <v>10</v>
      </c>
      <c r="AW7" s="85">
        <f t="shared" si="11"/>
        <v>10</v>
      </c>
      <c r="AX7" s="85"/>
      <c r="AY7" s="85">
        <v>1</v>
      </c>
      <c r="AZ7" s="85">
        <v>9</v>
      </c>
      <c r="BA7" s="85">
        <f t="shared" si="12"/>
        <v>9</v>
      </c>
      <c r="BB7" s="85">
        <f t="shared" si="13"/>
        <v>100</v>
      </c>
      <c r="BC7" s="5">
        <f t="shared" si="14"/>
        <v>85</v>
      </c>
      <c r="BD7" s="85">
        <v>16.1</v>
      </c>
      <c r="BE7" s="85">
        <f t="shared" si="15"/>
        <v>13.685000000000002</v>
      </c>
    </row>
    <row r="8" spans="1:57" ht="12.75">
      <c r="A8" s="1" t="s">
        <v>50</v>
      </c>
      <c r="B8" s="6"/>
      <c r="C8" s="4"/>
      <c r="D8" s="5">
        <v>0</v>
      </c>
      <c r="E8" s="5">
        <f t="shared" si="0"/>
        <v>0</v>
      </c>
      <c r="F8" s="70">
        <v>0</v>
      </c>
      <c r="G8" s="70">
        <v>0</v>
      </c>
      <c r="H8" s="6">
        <f>100*(F8-G8)*F8</f>
        <v>0</v>
      </c>
      <c r="I8" s="15">
        <v>0</v>
      </c>
      <c r="J8" s="5">
        <v>9</v>
      </c>
      <c r="K8" s="5">
        <f t="shared" si="1"/>
        <v>0</v>
      </c>
      <c r="L8" s="70">
        <v>18</v>
      </c>
      <c r="M8" s="70">
        <v>469</v>
      </c>
      <c r="N8" s="5">
        <f t="shared" si="2"/>
        <v>3.837953091684435</v>
      </c>
      <c r="O8" s="93">
        <v>0.2</v>
      </c>
      <c r="P8" s="5">
        <v>9</v>
      </c>
      <c r="Q8" s="5">
        <f t="shared" si="3"/>
        <v>1.8</v>
      </c>
      <c r="R8" s="5">
        <v>0</v>
      </c>
      <c r="S8" s="5">
        <v>1</v>
      </c>
      <c r="T8" s="5">
        <v>9</v>
      </c>
      <c r="U8" s="85">
        <f t="shared" si="4"/>
        <v>9</v>
      </c>
      <c r="V8" s="6" t="s">
        <v>80</v>
      </c>
      <c r="W8" s="4">
        <v>1</v>
      </c>
      <c r="X8" s="5">
        <v>7</v>
      </c>
      <c r="Y8" s="5">
        <f t="shared" si="5"/>
        <v>7</v>
      </c>
      <c r="Z8" s="96" t="s">
        <v>80</v>
      </c>
      <c r="AA8" s="108">
        <v>1</v>
      </c>
      <c r="AB8" s="5">
        <v>10</v>
      </c>
      <c r="AC8" s="5">
        <f t="shared" si="6"/>
        <v>10</v>
      </c>
      <c r="AD8" s="5"/>
      <c r="AE8" s="93">
        <v>1</v>
      </c>
      <c r="AF8" s="5">
        <v>10</v>
      </c>
      <c r="AG8" s="5">
        <f t="shared" si="7"/>
        <v>10</v>
      </c>
      <c r="AH8" s="5"/>
      <c r="AI8" s="5">
        <v>1</v>
      </c>
      <c r="AJ8" s="5">
        <v>10</v>
      </c>
      <c r="AK8" s="5">
        <f t="shared" si="8"/>
        <v>10</v>
      </c>
      <c r="AL8" s="5"/>
      <c r="AM8" s="5">
        <v>1</v>
      </c>
      <c r="AN8" s="5">
        <v>9</v>
      </c>
      <c r="AO8" s="5">
        <f t="shared" si="9"/>
        <v>9</v>
      </c>
      <c r="AP8" s="5"/>
      <c r="AQ8" s="5">
        <v>1</v>
      </c>
      <c r="AR8" s="5">
        <v>9</v>
      </c>
      <c r="AS8" s="5">
        <f t="shared" si="10"/>
        <v>9</v>
      </c>
      <c r="AT8" s="5"/>
      <c r="AU8" s="5">
        <v>1</v>
      </c>
      <c r="AV8" s="5">
        <v>9</v>
      </c>
      <c r="AW8" s="5">
        <f t="shared" si="11"/>
        <v>9</v>
      </c>
      <c r="AX8" s="5"/>
      <c r="AY8" s="5">
        <v>1</v>
      </c>
      <c r="AZ8" s="5">
        <v>9</v>
      </c>
      <c r="BA8" s="5">
        <f t="shared" si="12"/>
        <v>9</v>
      </c>
      <c r="BB8" s="5">
        <f t="shared" si="13"/>
        <v>100</v>
      </c>
      <c r="BC8" s="5">
        <f t="shared" si="14"/>
        <v>83.8</v>
      </c>
      <c r="BD8" s="5">
        <v>15</v>
      </c>
      <c r="BE8" s="5">
        <f t="shared" si="15"/>
        <v>12.57</v>
      </c>
    </row>
    <row r="9" spans="1:57" ht="12.75">
      <c r="A9" s="1" t="s">
        <v>47</v>
      </c>
      <c r="B9" s="6"/>
      <c r="C9" s="4"/>
      <c r="D9" s="5">
        <v>0</v>
      </c>
      <c r="E9" s="5">
        <f t="shared" si="0"/>
        <v>0</v>
      </c>
      <c r="F9" s="70">
        <v>0</v>
      </c>
      <c r="G9" s="70">
        <v>0</v>
      </c>
      <c r="H9" s="6">
        <v>0</v>
      </c>
      <c r="I9" s="4">
        <v>0</v>
      </c>
      <c r="J9" s="5">
        <v>9</v>
      </c>
      <c r="K9" s="5">
        <f t="shared" si="1"/>
        <v>0</v>
      </c>
      <c r="L9" s="70">
        <v>48</v>
      </c>
      <c r="M9" s="70">
        <v>3496</v>
      </c>
      <c r="N9" s="5">
        <f t="shared" si="2"/>
        <v>1.3729977116704806</v>
      </c>
      <c r="O9" s="93">
        <v>0.5</v>
      </c>
      <c r="P9" s="5">
        <v>9</v>
      </c>
      <c r="Q9" s="5">
        <f t="shared" si="3"/>
        <v>4.5</v>
      </c>
      <c r="R9" s="5">
        <v>0</v>
      </c>
      <c r="S9" s="5">
        <v>1</v>
      </c>
      <c r="T9" s="5">
        <v>9</v>
      </c>
      <c r="U9" s="5">
        <f t="shared" si="4"/>
        <v>9</v>
      </c>
      <c r="V9" s="6" t="s">
        <v>80</v>
      </c>
      <c r="W9" s="4">
        <v>1</v>
      </c>
      <c r="X9" s="5">
        <v>7</v>
      </c>
      <c r="Y9" s="5">
        <f t="shared" si="5"/>
        <v>7</v>
      </c>
      <c r="Z9" s="96" t="s">
        <v>80</v>
      </c>
      <c r="AA9" s="108">
        <v>1</v>
      </c>
      <c r="AB9" s="5">
        <v>10</v>
      </c>
      <c r="AC9" s="5">
        <f t="shared" si="6"/>
        <v>10</v>
      </c>
      <c r="AD9" s="5"/>
      <c r="AE9" s="93">
        <v>1</v>
      </c>
      <c r="AF9" s="5">
        <v>10</v>
      </c>
      <c r="AG9" s="5">
        <f t="shared" si="7"/>
        <v>10</v>
      </c>
      <c r="AH9" s="5"/>
      <c r="AI9" s="5">
        <v>1</v>
      </c>
      <c r="AJ9" s="5">
        <v>10</v>
      </c>
      <c r="AK9" s="5">
        <f t="shared" si="8"/>
        <v>10</v>
      </c>
      <c r="AL9" s="5"/>
      <c r="AM9" s="5">
        <v>1</v>
      </c>
      <c r="AN9" s="5">
        <v>9</v>
      </c>
      <c r="AO9" s="5">
        <f t="shared" si="9"/>
        <v>9</v>
      </c>
      <c r="AP9" s="5"/>
      <c r="AQ9" s="5">
        <v>1</v>
      </c>
      <c r="AR9" s="5">
        <v>9</v>
      </c>
      <c r="AS9" s="5">
        <f t="shared" si="10"/>
        <v>9</v>
      </c>
      <c r="AT9" s="5"/>
      <c r="AU9" s="5">
        <v>1</v>
      </c>
      <c r="AV9" s="5">
        <v>9</v>
      </c>
      <c r="AW9" s="5">
        <f t="shared" si="11"/>
        <v>9</v>
      </c>
      <c r="AX9" s="5"/>
      <c r="AY9" s="5">
        <v>1</v>
      </c>
      <c r="AZ9" s="5">
        <v>9</v>
      </c>
      <c r="BA9" s="5">
        <f t="shared" si="12"/>
        <v>9</v>
      </c>
      <c r="BB9" s="5">
        <f t="shared" si="13"/>
        <v>100</v>
      </c>
      <c r="BC9" s="5">
        <f t="shared" si="14"/>
        <v>86.5</v>
      </c>
      <c r="BD9" s="5">
        <v>15</v>
      </c>
      <c r="BE9" s="5">
        <f t="shared" si="15"/>
        <v>12.975</v>
      </c>
    </row>
    <row r="10" spans="1:57" ht="12.75">
      <c r="A10" s="1" t="s">
        <v>48</v>
      </c>
      <c r="B10" s="6"/>
      <c r="C10" s="4"/>
      <c r="D10" s="5">
        <v>0</v>
      </c>
      <c r="E10" s="5">
        <f t="shared" si="0"/>
        <v>0</v>
      </c>
      <c r="F10" s="62">
        <v>0</v>
      </c>
      <c r="G10" s="62">
        <v>0</v>
      </c>
      <c r="H10" s="6">
        <v>0</v>
      </c>
      <c r="I10" s="4">
        <v>0</v>
      </c>
      <c r="J10" s="5">
        <v>9</v>
      </c>
      <c r="K10" s="5">
        <f t="shared" si="1"/>
        <v>0</v>
      </c>
      <c r="L10" s="70">
        <v>44</v>
      </c>
      <c r="M10" s="70">
        <v>2511</v>
      </c>
      <c r="N10" s="5">
        <f t="shared" si="2"/>
        <v>1.752289924332935</v>
      </c>
      <c r="O10" s="93">
        <v>0.5</v>
      </c>
      <c r="P10" s="5">
        <v>9</v>
      </c>
      <c r="Q10" s="5">
        <f t="shared" si="3"/>
        <v>4.5</v>
      </c>
      <c r="R10" s="5">
        <v>0</v>
      </c>
      <c r="S10" s="5">
        <v>1</v>
      </c>
      <c r="T10" s="5">
        <v>9</v>
      </c>
      <c r="U10" s="5">
        <f t="shared" si="4"/>
        <v>9</v>
      </c>
      <c r="V10" s="6" t="s">
        <v>80</v>
      </c>
      <c r="W10" s="4">
        <v>1</v>
      </c>
      <c r="X10" s="5">
        <v>7</v>
      </c>
      <c r="Y10" s="5">
        <f t="shared" si="5"/>
        <v>7</v>
      </c>
      <c r="Z10" s="96" t="s">
        <v>80</v>
      </c>
      <c r="AA10" s="108">
        <v>1</v>
      </c>
      <c r="AB10" s="5">
        <v>10</v>
      </c>
      <c r="AC10" s="5">
        <f t="shared" si="6"/>
        <v>10</v>
      </c>
      <c r="AD10" s="5"/>
      <c r="AE10" s="93">
        <v>1</v>
      </c>
      <c r="AF10" s="5">
        <v>10</v>
      </c>
      <c r="AG10" s="5">
        <f t="shared" si="7"/>
        <v>10</v>
      </c>
      <c r="AH10" s="5"/>
      <c r="AI10" s="5">
        <v>1</v>
      </c>
      <c r="AJ10" s="5">
        <v>10</v>
      </c>
      <c r="AK10" s="5">
        <f t="shared" si="8"/>
        <v>10</v>
      </c>
      <c r="AL10" s="5"/>
      <c r="AM10" s="5">
        <v>1</v>
      </c>
      <c r="AN10" s="5">
        <v>9</v>
      </c>
      <c r="AO10" s="5">
        <f t="shared" si="9"/>
        <v>9</v>
      </c>
      <c r="AP10" s="5"/>
      <c r="AQ10" s="5">
        <v>1</v>
      </c>
      <c r="AR10" s="5">
        <v>9</v>
      </c>
      <c r="AS10" s="5">
        <f t="shared" si="10"/>
        <v>9</v>
      </c>
      <c r="AT10" s="5"/>
      <c r="AU10" s="5">
        <v>1</v>
      </c>
      <c r="AV10" s="5">
        <v>9</v>
      </c>
      <c r="AW10" s="5">
        <f t="shared" si="11"/>
        <v>9</v>
      </c>
      <c r="AX10" s="5"/>
      <c r="AY10" s="5">
        <v>1</v>
      </c>
      <c r="AZ10" s="5">
        <v>9</v>
      </c>
      <c r="BA10" s="5">
        <f t="shared" si="12"/>
        <v>9</v>
      </c>
      <c r="BB10" s="5">
        <f t="shared" si="13"/>
        <v>100</v>
      </c>
      <c r="BC10" s="5">
        <f t="shared" si="14"/>
        <v>86.5</v>
      </c>
      <c r="BD10" s="5">
        <v>15</v>
      </c>
      <c r="BE10" s="5">
        <f t="shared" si="15"/>
        <v>12.975</v>
      </c>
    </row>
    <row r="11" spans="1:5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</sheetData>
  <sheetProtection/>
  <mergeCells count="30">
    <mergeCell ref="AH2:AJ2"/>
    <mergeCell ref="AL2:AN2"/>
    <mergeCell ref="AP2:AR2"/>
    <mergeCell ref="AT2:AV2"/>
    <mergeCell ref="AX2:AZ2"/>
    <mergeCell ref="AG2:AG3"/>
    <mergeCell ref="AK2:AK3"/>
    <mergeCell ref="AO2:AO3"/>
    <mergeCell ref="AS2:AS3"/>
    <mergeCell ref="AW2:AW3"/>
    <mergeCell ref="F2:J2"/>
    <mergeCell ref="A1:A3"/>
    <mergeCell ref="B2:D2"/>
    <mergeCell ref="B1:AC1"/>
    <mergeCell ref="V2:X2"/>
    <mergeCell ref="Y2:Y3"/>
    <mergeCell ref="E2:E3"/>
    <mergeCell ref="Q2:Q3"/>
    <mergeCell ref="R2:T2"/>
    <mergeCell ref="U2:U3"/>
    <mergeCell ref="BE2:BE3"/>
    <mergeCell ref="Z2:AB2"/>
    <mergeCell ref="K2:K3"/>
    <mergeCell ref="AC2:AC3"/>
    <mergeCell ref="BB2:BB3"/>
    <mergeCell ref="BC2:BC3"/>
    <mergeCell ref="BD2:BD3"/>
    <mergeCell ref="L2:P2"/>
    <mergeCell ref="AD2:AF2"/>
    <mergeCell ref="BA2:BA3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C23"/>
  <sheetViews>
    <sheetView view="pageBreakPreview" zoomScaleNormal="75" zoomScaleSheetLayoutView="100" zoomScalePageLayoutView="0" workbookViewId="0" topLeftCell="A4">
      <pane xSplit="1" ySplit="3" topLeftCell="M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Z8" sqref="Z8:AA8"/>
    </sheetView>
  </sheetViews>
  <sheetFormatPr defaultColWidth="9.00390625" defaultRowHeight="12.75"/>
  <cols>
    <col min="1" max="1" width="24.875" style="0" bestFit="1" customWidth="1"/>
    <col min="2" max="2" width="15.00390625" style="0" customWidth="1"/>
    <col min="3" max="3" width="14.00390625" style="0" customWidth="1"/>
    <col min="4" max="4" width="11.375" style="0" customWidth="1"/>
    <col min="5" max="5" width="17.875" style="0" customWidth="1"/>
    <col min="6" max="6" width="6.75390625" style="0" customWidth="1"/>
    <col min="7" max="7" width="8.75390625" style="0" customWidth="1"/>
    <col min="8" max="8" width="14.375" style="0" customWidth="1"/>
    <col min="9" max="9" width="13.875" style="0" bestFit="1" customWidth="1"/>
    <col min="10" max="10" width="12.00390625" style="0" customWidth="1"/>
    <col min="11" max="11" width="17.75390625" style="0" customWidth="1"/>
    <col min="12" max="12" width="7.75390625" style="0" customWidth="1"/>
    <col min="13" max="13" width="8.375" style="0" customWidth="1"/>
    <col min="14" max="14" width="17.25390625" style="0" bestFit="1" customWidth="1"/>
    <col min="15" max="15" width="17.625" style="0" bestFit="1" customWidth="1"/>
    <col min="16" max="16" width="12.00390625" style="0" customWidth="1"/>
    <col min="17" max="17" width="17.00390625" style="0" customWidth="1"/>
    <col min="18" max="18" width="7.75390625" style="0" customWidth="1"/>
    <col min="19" max="19" width="8.25390625" style="0" customWidth="1"/>
    <col min="20" max="20" width="13.75390625" style="0" bestFit="1" customWidth="1"/>
    <col min="21" max="21" width="10.625" style="0" customWidth="1"/>
    <col min="22" max="22" width="11.375" style="0" bestFit="1" customWidth="1"/>
    <col min="23" max="23" width="14.375" style="0" customWidth="1"/>
    <col min="24" max="24" width="8.00390625" style="0" customWidth="1"/>
    <col min="25" max="25" width="8.375" style="0" customWidth="1"/>
    <col min="26" max="26" width="8.625" style="0" customWidth="1"/>
    <col min="27" max="27" width="10.375" style="0" customWidth="1"/>
    <col min="28" max="28" width="8.375" style="0" customWidth="1"/>
    <col min="29" max="29" width="8.75390625" style="0" customWidth="1"/>
  </cols>
  <sheetData>
    <row r="4" spans="1:29" ht="12.75">
      <c r="A4" s="155" t="s">
        <v>44</v>
      </c>
      <c r="B4" s="156" t="s">
        <v>69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66"/>
      <c r="Z4" s="39"/>
      <c r="AA4" s="39"/>
      <c r="AB4" s="39"/>
      <c r="AC4" s="39"/>
    </row>
    <row r="5" spans="1:29" ht="27.75" customHeight="1">
      <c r="A5" s="155"/>
      <c r="B5" s="167" t="s">
        <v>70</v>
      </c>
      <c r="C5" s="168"/>
      <c r="D5" s="168"/>
      <c r="E5" s="168"/>
      <c r="F5" s="168"/>
      <c r="G5" s="111" t="s">
        <v>56</v>
      </c>
      <c r="H5" s="156" t="s">
        <v>115</v>
      </c>
      <c r="I5" s="157"/>
      <c r="J5" s="157"/>
      <c r="K5" s="157"/>
      <c r="L5" s="166"/>
      <c r="M5" s="123" t="s">
        <v>56</v>
      </c>
      <c r="N5" s="111" t="s">
        <v>95</v>
      </c>
      <c r="O5" s="111"/>
      <c r="P5" s="111"/>
      <c r="Q5" s="111"/>
      <c r="R5" s="111"/>
      <c r="S5" s="111" t="s">
        <v>56</v>
      </c>
      <c r="T5" s="182" t="s">
        <v>98</v>
      </c>
      <c r="U5" s="183"/>
      <c r="V5" s="183"/>
      <c r="W5" s="183"/>
      <c r="X5" s="184"/>
      <c r="Y5" s="124" t="s">
        <v>56</v>
      </c>
      <c r="Z5" s="128" t="s">
        <v>58</v>
      </c>
      <c r="AA5" s="131" t="s">
        <v>57</v>
      </c>
      <c r="AB5" s="117" t="s">
        <v>85</v>
      </c>
      <c r="AC5" s="120" t="s">
        <v>51</v>
      </c>
    </row>
    <row r="6" spans="1:29" ht="278.25" customHeight="1">
      <c r="A6" s="155"/>
      <c r="B6" s="20" t="s">
        <v>31</v>
      </c>
      <c r="C6" s="20" t="s">
        <v>32</v>
      </c>
      <c r="D6" s="20" t="s">
        <v>94</v>
      </c>
      <c r="E6" s="35" t="s">
        <v>114</v>
      </c>
      <c r="F6" s="44" t="s">
        <v>45</v>
      </c>
      <c r="G6" s="111"/>
      <c r="H6" s="33" t="s">
        <v>116</v>
      </c>
      <c r="I6" s="33" t="s">
        <v>117</v>
      </c>
      <c r="J6" s="33" t="s">
        <v>118</v>
      </c>
      <c r="K6" s="35"/>
      <c r="L6" s="46" t="s">
        <v>45</v>
      </c>
      <c r="M6" s="125"/>
      <c r="N6" s="45" t="s">
        <v>96</v>
      </c>
      <c r="O6" s="45" t="s">
        <v>97</v>
      </c>
      <c r="P6" s="20" t="s">
        <v>33</v>
      </c>
      <c r="Q6" s="24" t="s">
        <v>119</v>
      </c>
      <c r="R6" s="23" t="s">
        <v>45</v>
      </c>
      <c r="S6" s="111"/>
      <c r="T6" s="20" t="s">
        <v>34</v>
      </c>
      <c r="U6" s="20" t="s">
        <v>35</v>
      </c>
      <c r="V6" s="20" t="s">
        <v>36</v>
      </c>
      <c r="W6" s="35" t="s">
        <v>99</v>
      </c>
      <c r="X6" s="23" t="s">
        <v>45</v>
      </c>
      <c r="Y6" s="125"/>
      <c r="Z6" s="130"/>
      <c r="AA6" s="133"/>
      <c r="AB6" s="119"/>
      <c r="AC6" s="122"/>
    </row>
    <row r="7" spans="1:29" ht="12.75">
      <c r="A7" s="25">
        <v>1</v>
      </c>
      <c r="B7" s="36">
        <v>2</v>
      </c>
      <c r="C7" s="36">
        <v>3</v>
      </c>
      <c r="D7" s="25">
        <v>4</v>
      </c>
      <c r="E7" s="25">
        <v>5</v>
      </c>
      <c r="F7" s="36">
        <v>6</v>
      </c>
      <c r="G7" s="36">
        <v>7</v>
      </c>
      <c r="H7" s="25">
        <v>8</v>
      </c>
      <c r="I7" s="25">
        <v>9</v>
      </c>
      <c r="J7" s="36">
        <v>10</v>
      </c>
      <c r="K7" s="36">
        <v>11</v>
      </c>
      <c r="L7" s="25">
        <v>12</v>
      </c>
      <c r="M7" s="25">
        <v>13</v>
      </c>
      <c r="N7" s="36">
        <v>14</v>
      </c>
      <c r="O7" s="36">
        <v>15</v>
      </c>
      <c r="P7" s="25">
        <v>16</v>
      </c>
      <c r="Q7" s="25">
        <v>17</v>
      </c>
      <c r="R7" s="36">
        <v>18</v>
      </c>
      <c r="S7" s="36">
        <v>19</v>
      </c>
      <c r="T7" s="25">
        <v>20</v>
      </c>
      <c r="U7" s="25">
        <v>21</v>
      </c>
      <c r="V7" s="36">
        <v>22</v>
      </c>
      <c r="W7" s="36">
        <v>23</v>
      </c>
      <c r="X7" s="25">
        <v>24</v>
      </c>
      <c r="Y7" s="25">
        <v>25</v>
      </c>
      <c r="Z7" s="36">
        <v>26</v>
      </c>
      <c r="AA7" s="36">
        <v>27</v>
      </c>
      <c r="AB7" s="25">
        <v>28</v>
      </c>
      <c r="AC7" s="25">
        <v>29</v>
      </c>
    </row>
    <row r="8" spans="1:29" ht="12.75">
      <c r="A8" s="1" t="s">
        <v>46</v>
      </c>
      <c r="B8" s="9">
        <v>79.7</v>
      </c>
      <c r="C8" s="1">
        <v>79.7</v>
      </c>
      <c r="D8" s="6">
        <f aca="true" t="shared" si="0" ref="D8:D13">100*(B8/C8)</f>
        <v>100</v>
      </c>
      <c r="E8" s="4">
        <v>0</v>
      </c>
      <c r="F8" s="5">
        <v>25</v>
      </c>
      <c r="G8" s="5">
        <f aca="true" t="shared" si="1" ref="G8:G13">E8*F8</f>
        <v>0</v>
      </c>
      <c r="H8" s="5">
        <v>0</v>
      </c>
      <c r="I8" s="5">
        <v>0</v>
      </c>
      <c r="J8" s="6" t="e">
        <f aca="true" t="shared" si="2" ref="J8:J13">100*(H8/I8)</f>
        <v>#DIV/0!</v>
      </c>
      <c r="K8" s="4">
        <v>1</v>
      </c>
      <c r="L8" s="5">
        <v>25</v>
      </c>
      <c r="M8" s="5">
        <f aca="true" t="shared" si="3" ref="M8:M13">K8*L8</f>
        <v>25</v>
      </c>
      <c r="N8" s="5">
        <v>0</v>
      </c>
      <c r="O8" s="5">
        <v>0</v>
      </c>
      <c r="P8" s="6" t="e">
        <f aca="true" t="shared" si="4" ref="P8:P13">100*(N8/O8)</f>
        <v>#DIV/0!</v>
      </c>
      <c r="Q8" s="4">
        <v>1</v>
      </c>
      <c r="R8" s="5">
        <v>25</v>
      </c>
      <c r="S8" s="5">
        <f aca="true" t="shared" si="5" ref="S8:S13">Q8*R8</f>
        <v>25</v>
      </c>
      <c r="T8" s="5">
        <v>0</v>
      </c>
      <c r="U8" s="71">
        <v>416691.3</v>
      </c>
      <c r="V8" s="6">
        <f aca="true" t="shared" si="6" ref="V8:V13">100*(T8/U8)</f>
        <v>0</v>
      </c>
      <c r="W8" s="4">
        <v>1</v>
      </c>
      <c r="X8" s="5">
        <v>25</v>
      </c>
      <c r="Y8" s="5">
        <f aca="true" t="shared" si="7" ref="Y8:Y13">W8*X8</f>
        <v>25</v>
      </c>
      <c r="Z8" s="70">
        <f>X8+R8+L8+F8</f>
        <v>100</v>
      </c>
      <c r="AA8" s="70">
        <f>Y8+S8+M8+G8</f>
        <v>75</v>
      </c>
      <c r="AB8" s="5">
        <v>7</v>
      </c>
      <c r="AC8" s="5">
        <f aca="true" t="shared" si="8" ref="AC8:AC13">(AA8*AB8)/100</f>
        <v>5.25</v>
      </c>
    </row>
    <row r="9" spans="1:29" ht="12.75">
      <c r="A9" s="1" t="s">
        <v>131</v>
      </c>
      <c r="B9" s="9">
        <v>0</v>
      </c>
      <c r="C9" s="1">
        <v>0</v>
      </c>
      <c r="D9" s="6" t="e">
        <f t="shared" si="0"/>
        <v>#DIV/0!</v>
      </c>
      <c r="E9" s="4">
        <v>1</v>
      </c>
      <c r="F9" s="5">
        <v>25</v>
      </c>
      <c r="G9" s="5">
        <f t="shared" si="1"/>
        <v>25</v>
      </c>
      <c r="H9" s="5">
        <v>0</v>
      </c>
      <c r="I9" s="5">
        <v>0</v>
      </c>
      <c r="J9" s="6" t="e">
        <f t="shared" si="2"/>
        <v>#DIV/0!</v>
      </c>
      <c r="K9" s="4">
        <v>1</v>
      </c>
      <c r="L9" s="5">
        <v>25</v>
      </c>
      <c r="M9" s="5">
        <f t="shared" si="3"/>
        <v>25</v>
      </c>
      <c r="N9" s="5">
        <v>0</v>
      </c>
      <c r="O9" s="5">
        <v>0</v>
      </c>
      <c r="P9" s="6" t="e">
        <f t="shared" si="4"/>
        <v>#DIV/0!</v>
      </c>
      <c r="Q9" s="4">
        <v>1</v>
      </c>
      <c r="R9" s="5">
        <v>25</v>
      </c>
      <c r="S9" s="5">
        <f t="shared" si="5"/>
        <v>25</v>
      </c>
      <c r="T9" s="5">
        <v>0</v>
      </c>
      <c r="U9" s="71">
        <v>1078.5</v>
      </c>
      <c r="V9" s="6">
        <f t="shared" si="6"/>
        <v>0</v>
      </c>
      <c r="W9" s="4">
        <v>1</v>
      </c>
      <c r="X9" s="5">
        <v>25</v>
      </c>
      <c r="Y9" s="5">
        <f t="shared" si="7"/>
        <v>25</v>
      </c>
      <c r="Z9" s="5">
        <f>X9+R9+L9+F9</f>
        <v>100</v>
      </c>
      <c r="AA9" s="5">
        <f>Y9+S9++M9+G9</f>
        <v>100</v>
      </c>
      <c r="AB9" s="5">
        <v>7.6</v>
      </c>
      <c r="AC9" s="5">
        <f t="shared" si="8"/>
        <v>7.6</v>
      </c>
    </row>
    <row r="10" spans="1:29" ht="12.75">
      <c r="A10" s="1" t="s">
        <v>49</v>
      </c>
      <c r="B10" s="9">
        <v>0</v>
      </c>
      <c r="C10" s="1">
        <v>0</v>
      </c>
      <c r="D10" s="6" t="e">
        <f t="shared" si="0"/>
        <v>#DIV/0!</v>
      </c>
      <c r="E10" s="4">
        <v>1</v>
      </c>
      <c r="F10" s="5">
        <v>25</v>
      </c>
      <c r="G10" s="5">
        <f t="shared" si="1"/>
        <v>25</v>
      </c>
      <c r="H10" s="5">
        <v>0</v>
      </c>
      <c r="I10" s="5">
        <v>0</v>
      </c>
      <c r="J10" s="6" t="e">
        <f t="shared" si="2"/>
        <v>#DIV/0!</v>
      </c>
      <c r="K10" s="4">
        <v>1</v>
      </c>
      <c r="L10" s="5">
        <v>25</v>
      </c>
      <c r="M10" s="5">
        <f t="shared" si="3"/>
        <v>25</v>
      </c>
      <c r="N10" s="5">
        <v>0</v>
      </c>
      <c r="O10" s="5">
        <v>0</v>
      </c>
      <c r="P10" s="6" t="e">
        <f t="shared" si="4"/>
        <v>#DIV/0!</v>
      </c>
      <c r="Q10" s="4">
        <v>1</v>
      </c>
      <c r="R10" s="5">
        <v>25</v>
      </c>
      <c r="S10" s="5">
        <f t="shared" si="5"/>
        <v>25</v>
      </c>
      <c r="T10" s="5">
        <v>0</v>
      </c>
      <c r="U10" s="71">
        <v>7216.9</v>
      </c>
      <c r="V10" s="6">
        <f t="shared" si="6"/>
        <v>0</v>
      </c>
      <c r="W10" s="4">
        <v>1</v>
      </c>
      <c r="X10" s="5">
        <v>25</v>
      </c>
      <c r="Y10" s="5">
        <f t="shared" si="7"/>
        <v>25</v>
      </c>
      <c r="Z10" s="5">
        <f>X10+R10+L10+F10</f>
        <v>100</v>
      </c>
      <c r="AA10" s="5">
        <f>Y10+S10++M10+G10</f>
        <v>100</v>
      </c>
      <c r="AB10" s="5">
        <v>7.6</v>
      </c>
      <c r="AC10" s="5">
        <f t="shared" si="8"/>
        <v>7.6</v>
      </c>
    </row>
    <row r="11" spans="1:29" ht="12.75">
      <c r="A11" s="1" t="s">
        <v>50</v>
      </c>
      <c r="B11" s="9">
        <v>0</v>
      </c>
      <c r="C11" s="1">
        <v>0</v>
      </c>
      <c r="D11" s="6" t="e">
        <f t="shared" si="0"/>
        <v>#DIV/0!</v>
      </c>
      <c r="E11" s="4">
        <v>1</v>
      </c>
      <c r="F11" s="5">
        <v>25</v>
      </c>
      <c r="G11" s="5">
        <f t="shared" si="1"/>
        <v>25</v>
      </c>
      <c r="H11" s="5">
        <v>0</v>
      </c>
      <c r="I11" s="5">
        <v>0</v>
      </c>
      <c r="J11" s="6" t="e">
        <f t="shared" si="2"/>
        <v>#DIV/0!</v>
      </c>
      <c r="K11" s="4">
        <v>1</v>
      </c>
      <c r="L11" s="5">
        <v>25</v>
      </c>
      <c r="M11" s="5">
        <f t="shared" si="3"/>
        <v>25</v>
      </c>
      <c r="N11" s="5">
        <v>0</v>
      </c>
      <c r="O11" s="5">
        <v>0</v>
      </c>
      <c r="P11" s="6" t="e">
        <f t="shared" si="4"/>
        <v>#DIV/0!</v>
      </c>
      <c r="Q11" s="4">
        <v>1</v>
      </c>
      <c r="R11" s="5">
        <v>25</v>
      </c>
      <c r="S11" s="5">
        <f t="shared" si="5"/>
        <v>25</v>
      </c>
      <c r="T11" s="5">
        <v>0</v>
      </c>
      <c r="U11" s="71">
        <v>74671.8</v>
      </c>
      <c r="V11" s="6">
        <f t="shared" si="6"/>
        <v>0</v>
      </c>
      <c r="W11" s="4">
        <v>1</v>
      </c>
      <c r="X11" s="5">
        <v>25</v>
      </c>
      <c r="Y11" s="5">
        <f t="shared" si="7"/>
        <v>25</v>
      </c>
      <c r="Z11" s="5">
        <f>X11+R11+L11+F11</f>
        <v>100</v>
      </c>
      <c r="AA11" s="5">
        <f>Y11+S11++M11+G11</f>
        <v>100</v>
      </c>
      <c r="AB11" s="5">
        <v>7</v>
      </c>
      <c r="AC11" s="5">
        <f t="shared" si="8"/>
        <v>7</v>
      </c>
    </row>
    <row r="12" spans="1:29" ht="12.75">
      <c r="A12" s="1" t="s">
        <v>47</v>
      </c>
      <c r="B12" s="9">
        <v>0</v>
      </c>
      <c r="C12" s="1">
        <v>0</v>
      </c>
      <c r="D12" s="6" t="e">
        <f t="shared" si="0"/>
        <v>#DIV/0!</v>
      </c>
      <c r="E12" s="4">
        <v>1</v>
      </c>
      <c r="F12" s="5">
        <v>25</v>
      </c>
      <c r="G12" s="5">
        <f t="shared" si="1"/>
        <v>25</v>
      </c>
      <c r="H12" s="5">
        <v>0</v>
      </c>
      <c r="I12" s="5">
        <v>0</v>
      </c>
      <c r="J12" s="6" t="e">
        <f t="shared" si="2"/>
        <v>#DIV/0!</v>
      </c>
      <c r="K12" s="4">
        <v>1</v>
      </c>
      <c r="L12" s="5">
        <v>25</v>
      </c>
      <c r="M12" s="5">
        <f t="shared" si="3"/>
        <v>25</v>
      </c>
      <c r="N12" s="5">
        <v>0</v>
      </c>
      <c r="O12" s="5">
        <v>0</v>
      </c>
      <c r="P12" s="6" t="e">
        <f t="shared" si="4"/>
        <v>#DIV/0!</v>
      </c>
      <c r="Q12" s="4">
        <v>1</v>
      </c>
      <c r="R12" s="5">
        <v>25</v>
      </c>
      <c r="S12" s="5">
        <f t="shared" si="5"/>
        <v>25</v>
      </c>
      <c r="T12" s="5">
        <v>0</v>
      </c>
      <c r="U12" s="71">
        <v>484776.1</v>
      </c>
      <c r="V12" s="6">
        <f t="shared" si="6"/>
        <v>0</v>
      </c>
      <c r="W12" s="4">
        <v>1</v>
      </c>
      <c r="X12" s="5">
        <v>25</v>
      </c>
      <c r="Y12" s="5">
        <f t="shared" si="7"/>
        <v>25</v>
      </c>
      <c r="Z12" s="5">
        <f>X12+R12+L12+F12</f>
        <v>100</v>
      </c>
      <c r="AA12" s="5">
        <f>Y12+S12++M12+G12</f>
        <v>100</v>
      </c>
      <c r="AB12" s="5">
        <v>7</v>
      </c>
      <c r="AC12" s="5">
        <f t="shared" si="8"/>
        <v>7</v>
      </c>
    </row>
    <row r="13" spans="1:29" ht="12.75">
      <c r="A13" s="1" t="s">
        <v>48</v>
      </c>
      <c r="B13" s="9">
        <v>0</v>
      </c>
      <c r="C13" s="1">
        <v>0</v>
      </c>
      <c r="D13" s="6" t="e">
        <f t="shared" si="0"/>
        <v>#DIV/0!</v>
      </c>
      <c r="E13" s="4">
        <v>1</v>
      </c>
      <c r="F13" s="5">
        <v>25</v>
      </c>
      <c r="G13" s="5">
        <f t="shared" si="1"/>
        <v>25</v>
      </c>
      <c r="H13" s="5">
        <v>0</v>
      </c>
      <c r="I13" s="5">
        <v>0</v>
      </c>
      <c r="J13" s="6" t="e">
        <f t="shared" si="2"/>
        <v>#DIV/0!</v>
      </c>
      <c r="K13" s="4">
        <v>1</v>
      </c>
      <c r="L13" s="5">
        <v>25</v>
      </c>
      <c r="M13" s="5">
        <f t="shared" si="3"/>
        <v>25</v>
      </c>
      <c r="N13" s="5">
        <v>0</v>
      </c>
      <c r="O13" s="5">
        <v>0</v>
      </c>
      <c r="P13" s="6" t="e">
        <f t="shared" si="4"/>
        <v>#DIV/0!</v>
      </c>
      <c r="Q13" s="4">
        <v>1</v>
      </c>
      <c r="R13" s="5">
        <v>25</v>
      </c>
      <c r="S13" s="5">
        <f t="shared" si="5"/>
        <v>25</v>
      </c>
      <c r="T13" s="5">
        <v>0</v>
      </c>
      <c r="U13" s="71">
        <v>299861.7</v>
      </c>
      <c r="V13" s="6">
        <f t="shared" si="6"/>
        <v>0</v>
      </c>
      <c r="W13" s="4">
        <v>1</v>
      </c>
      <c r="X13" s="5">
        <v>25</v>
      </c>
      <c r="Y13" s="5">
        <f t="shared" si="7"/>
        <v>25</v>
      </c>
      <c r="Z13" s="5">
        <f>X13+R13+L13+F13</f>
        <v>100</v>
      </c>
      <c r="AA13" s="5">
        <f>Y13+S13++M13+G13</f>
        <v>100</v>
      </c>
      <c r="AB13" s="5">
        <v>7</v>
      </c>
      <c r="AC13" s="5">
        <f t="shared" si="8"/>
        <v>7</v>
      </c>
    </row>
    <row r="14" spans="1:29" ht="12.75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</sheetData>
  <sheetProtection/>
  <mergeCells count="14">
    <mergeCell ref="A4:A6"/>
    <mergeCell ref="B4:Y4"/>
    <mergeCell ref="T5:X5"/>
    <mergeCell ref="N5:R5"/>
    <mergeCell ref="S5:S6"/>
    <mergeCell ref="H5:L5"/>
    <mergeCell ref="M5:M6"/>
    <mergeCell ref="B5:F5"/>
    <mergeCell ref="G5:G6"/>
    <mergeCell ref="AC5:AC6"/>
    <mergeCell ref="Y5:Y6"/>
    <mergeCell ref="Z5:Z6"/>
    <mergeCell ref="AA5:AA6"/>
    <mergeCell ref="AB5:AB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3"/>
  <legacyDrawing r:id="rId2"/>
  <oleObjects>
    <oleObject progId="Equation.3" shapeId="196111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Y24"/>
  <sheetViews>
    <sheetView view="pageBreakPreview" zoomScaleNormal="75" zoomScaleSheetLayoutView="100" zoomScalePageLayoutView="0" workbookViewId="0" topLeftCell="A4">
      <pane xSplit="1" ySplit="3" topLeftCell="F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Y8" sqref="Y8:Y13"/>
    </sheetView>
  </sheetViews>
  <sheetFormatPr defaultColWidth="9.00390625" defaultRowHeight="12.75"/>
  <cols>
    <col min="1" max="1" width="24.875" style="0" bestFit="1" customWidth="1"/>
    <col min="2" max="2" width="12.75390625" style="0" customWidth="1"/>
    <col min="3" max="3" width="19.00390625" style="0" customWidth="1"/>
    <col min="4" max="4" width="22.375" style="0" customWidth="1"/>
    <col min="5" max="5" width="10.625" style="0" customWidth="1"/>
    <col min="6" max="6" width="16.875" style="0" customWidth="1"/>
    <col min="7" max="7" width="17.00390625" style="0" customWidth="1"/>
    <col min="8" max="8" width="7.875" style="0" customWidth="1"/>
    <col min="9" max="9" width="6.375" style="0" customWidth="1"/>
    <col min="10" max="10" width="13.75390625" style="0" customWidth="1"/>
    <col min="11" max="11" width="12.75390625" style="0" customWidth="1"/>
    <col min="12" max="12" width="10.625" style="0" customWidth="1"/>
    <col min="13" max="13" width="9.25390625" style="0" customWidth="1"/>
    <col min="14" max="14" width="7.375" style="0" customWidth="1"/>
    <col min="15" max="15" width="8.625" style="0" customWidth="1"/>
    <col min="16" max="16" width="10.125" style="0" customWidth="1"/>
    <col min="17" max="17" width="9.875" style="0" customWidth="1"/>
    <col min="18" max="18" width="8.25390625" style="0" customWidth="1"/>
    <col min="19" max="19" width="9.00390625" style="0" customWidth="1"/>
    <col min="20" max="20" width="7.75390625" style="0" customWidth="1"/>
    <col min="21" max="21" width="8.125" style="0" customWidth="1"/>
    <col min="22" max="22" width="8.875" style="0" customWidth="1"/>
    <col min="23" max="23" width="8.00390625" style="0" customWidth="1"/>
    <col min="24" max="24" width="6.75390625" style="0" customWidth="1"/>
    <col min="25" max="25" width="7.875" style="0" customWidth="1"/>
  </cols>
  <sheetData>
    <row r="4" spans="1:25" ht="12.75">
      <c r="A4" s="109" t="s">
        <v>44</v>
      </c>
      <c r="B4" s="185" t="s">
        <v>81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1:25" ht="28.5" customHeight="1">
      <c r="A5" s="112"/>
      <c r="B5" s="156" t="s">
        <v>86</v>
      </c>
      <c r="C5" s="157"/>
      <c r="D5" s="157"/>
      <c r="E5" s="157"/>
      <c r="F5" s="157"/>
      <c r="G5" s="157"/>
      <c r="H5" s="157"/>
      <c r="I5" s="111" t="s">
        <v>56</v>
      </c>
      <c r="J5" s="111" t="s">
        <v>42</v>
      </c>
      <c r="K5" s="111"/>
      <c r="L5" s="111"/>
      <c r="M5" s="111"/>
      <c r="N5" s="111"/>
      <c r="O5" s="123" t="s">
        <v>56</v>
      </c>
      <c r="P5" s="167" t="s">
        <v>113</v>
      </c>
      <c r="Q5" s="168"/>
      <c r="R5" s="168"/>
      <c r="S5" s="168"/>
      <c r="T5" s="169"/>
      <c r="U5" s="123" t="s">
        <v>56</v>
      </c>
      <c r="V5" s="128" t="s">
        <v>58</v>
      </c>
      <c r="W5" s="131" t="s">
        <v>57</v>
      </c>
      <c r="X5" s="117" t="s">
        <v>85</v>
      </c>
      <c r="Y5" s="120" t="s">
        <v>51</v>
      </c>
    </row>
    <row r="6" spans="1:25" ht="258.75">
      <c r="A6" s="110"/>
      <c r="B6" s="20" t="s">
        <v>100</v>
      </c>
      <c r="C6" s="20" t="s">
        <v>11</v>
      </c>
      <c r="D6" s="20" t="s">
        <v>12</v>
      </c>
      <c r="E6" s="20" t="s">
        <v>37</v>
      </c>
      <c r="F6" s="41" t="s">
        <v>102</v>
      </c>
      <c r="G6" s="40" t="s">
        <v>13</v>
      </c>
      <c r="H6" s="44" t="s">
        <v>45</v>
      </c>
      <c r="I6" s="111"/>
      <c r="J6" s="20" t="s">
        <v>16</v>
      </c>
      <c r="K6" s="20" t="s">
        <v>144</v>
      </c>
      <c r="L6" s="42" t="s">
        <v>14</v>
      </c>
      <c r="M6" s="24" t="s">
        <v>15</v>
      </c>
      <c r="N6" s="23" t="s">
        <v>45</v>
      </c>
      <c r="O6" s="125"/>
      <c r="P6" s="20" t="s">
        <v>18</v>
      </c>
      <c r="Q6" s="20" t="s">
        <v>19</v>
      </c>
      <c r="R6" s="42" t="s">
        <v>17</v>
      </c>
      <c r="S6" s="24" t="s">
        <v>15</v>
      </c>
      <c r="T6" s="23" t="s">
        <v>45</v>
      </c>
      <c r="U6" s="125"/>
      <c r="V6" s="130"/>
      <c r="W6" s="133"/>
      <c r="X6" s="119"/>
      <c r="Y6" s="122"/>
    </row>
    <row r="7" spans="1:25" ht="12.75">
      <c r="A7" s="25">
        <v>1</v>
      </c>
      <c r="B7" s="36">
        <v>2</v>
      </c>
      <c r="C7" s="36">
        <v>3</v>
      </c>
      <c r="D7" s="25">
        <v>4</v>
      </c>
      <c r="E7" s="25">
        <v>5</v>
      </c>
      <c r="F7" s="36">
        <v>6</v>
      </c>
      <c r="G7" s="36">
        <v>7</v>
      </c>
      <c r="H7" s="25">
        <v>8</v>
      </c>
      <c r="I7" s="25">
        <v>9</v>
      </c>
      <c r="J7" s="36">
        <v>10</v>
      </c>
      <c r="K7" s="36">
        <v>11</v>
      </c>
      <c r="L7" s="25">
        <v>12</v>
      </c>
      <c r="M7" s="25">
        <v>13</v>
      </c>
      <c r="N7" s="36">
        <v>14</v>
      </c>
      <c r="O7" s="36">
        <v>15</v>
      </c>
      <c r="P7" s="25">
        <v>16</v>
      </c>
      <c r="Q7" s="25">
        <v>17</v>
      </c>
      <c r="R7" s="36">
        <v>18</v>
      </c>
      <c r="S7" s="36">
        <v>19</v>
      </c>
      <c r="T7" s="25">
        <v>20</v>
      </c>
      <c r="U7" s="25">
        <v>21</v>
      </c>
      <c r="V7" s="36">
        <v>22</v>
      </c>
      <c r="W7" s="36">
        <v>23</v>
      </c>
      <c r="X7" s="25">
        <v>24</v>
      </c>
      <c r="Y7" s="25">
        <v>25</v>
      </c>
    </row>
    <row r="8" spans="1:25" ht="12.75">
      <c r="A8" s="1" t="s">
        <v>46</v>
      </c>
      <c r="B8" s="9">
        <v>0</v>
      </c>
      <c r="C8" s="72">
        <v>10</v>
      </c>
      <c r="D8" s="9">
        <v>0</v>
      </c>
      <c r="E8" s="9">
        <v>10</v>
      </c>
      <c r="F8" s="10">
        <f aca="true" t="shared" si="0" ref="F8:F13">100*((1.5*B8+C8+D8)/E8)</f>
        <v>100</v>
      </c>
      <c r="G8" s="4">
        <v>1</v>
      </c>
      <c r="H8" s="5">
        <v>40</v>
      </c>
      <c r="I8" s="5">
        <f aca="true" t="shared" si="1" ref="I8:I13">G8*H8</f>
        <v>40</v>
      </c>
      <c r="J8" s="5">
        <v>1</v>
      </c>
      <c r="K8" s="5">
        <v>10</v>
      </c>
      <c r="L8" s="6">
        <f aca="true" t="shared" si="2" ref="L8:L13">100*J8/K8</f>
        <v>10</v>
      </c>
      <c r="M8" s="4">
        <f aca="true" t="shared" si="3" ref="M8:M13">L8/100</f>
        <v>0.1</v>
      </c>
      <c r="N8" s="5">
        <v>30</v>
      </c>
      <c r="O8" s="5">
        <f aca="true" t="shared" si="4" ref="O8:O13">M8*N8</f>
        <v>3</v>
      </c>
      <c r="P8" s="5">
        <v>10</v>
      </c>
      <c r="Q8" s="18">
        <v>9</v>
      </c>
      <c r="R8" s="6">
        <f aca="true" t="shared" si="5" ref="R8:R13">100*P8/Q8</f>
        <v>111.11111111111111</v>
      </c>
      <c r="S8" s="4">
        <f aca="true" t="shared" si="6" ref="S8:S13">R8/100</f>
        <v>1.1111111111111112</v>
      </c>
      <c r="T8" s="5">
        <v>30</v>
      </c>
      <c r="U8" s="5">
        <f aca="true" t="shared" si="7" ref="U8:U13">S8*T8</f>
        <v>33.333333333333336</v>
      </c>
      <c r="V8" s="5">
        <f aca="true" t="shared" si="8" ref="V8:W13">T8+N8+H8</f>
        <v>100</v>
      </c>
      <c r="W8" s="5">
        <f t="shared" si="8"/>
        <v>76.33333333333334</v>
      </c>
      <c r="X8" s="5">
        <v>7</v>
      </c>
      <c r="Y8" s="5">
        <f aca="true" t="shared" si="9" ref="Y8:Y13">(W8*X8)/100</f>
        <v>5.343333333333334</v>
      </c>
    </row>
    <row r="9" spans="1:25" ht="12.75">
      <c r="A9" s="1" t="s">
        <v>131</v>
      </c>
      <c r="B9" s="9">
        <v>0</v>
      </c>
      <c r="C9" s="72">
        <v>2</v>
      </c>
      <c r="D9" s="9">
        <v>0</v>
      </c>
      <c r="E9" s="9">
        <v>2</v>
      </c>
      <c r="F9" s="10">
        <f t="shared" si="0"/>
        <v>100</v>
      </c>
      <c r="G9" s="4">
        <v>1</v>
      </c>
      <c r="H9" s="5">
        <v>40</v>
      </c>
      <c r="I9" s="5">
        <f t="shared" si="1"/>
        <v>40</v>
      </c>
      <c r="J9" s="5">
        <v>0</v>
      </c>
      <c r="K9" s="5">
        <v>2</v>
      </c>
      <c r="L9" s="6">
        <f t="shared" si="2"/>
        <v>0</v>
      </c>
      <c r="M9" s="4">
        <f t="shared" si="3"/>
        <v>0</v>
      </c>
      <c r="N9" s="5">
        <v>30</v>
      </c>
      <c r="O9" s="5">
        <f t="shared" si="4"/>
        <v>0</v>
      </c>
      <c r="P9" s="5">
        <v>2</v>
      </c>
      <c r="Q9" s="5">
        <v>2</v>
      </c>
      <c r="R9" s="6">
        <f t="shared" si="5"/>
        <v>100</v>
      </c>
      <c r="S9" s="4">
        <f t="shared" si="6"/>
        <v>1</v>
      </c>
      <c r="T9" s="5">
        <v>30</v>
      </c>
      <c r="U9" s="5">
        <f t="shared" si="7"/>
        <v>30</v>
      </c>
      <c r="V9" s="5">
        <f t="shared" si="8"/>
        <v>100</v>
      </c>
      <c r="W9" s="5">
        <f t="shared" si="8"/>
        <v>70</v>
      </c>
      <c r="X9" s="5">
        <v>7.5</v>
      </c>
      <c r="Y9" s="5">
        <f t="shared" si="9"/>
        <v>5.25</v>
      </c>
    </row>
    <row r="10" spans="1:25" ht="12.75">
      <c r="A10" s="1" t="s">
        <v>49</v>
      </c>
      <c r="B10" s="9">
        <v>0</v>
      </c>
      <c r="C10" s="9">
        <v>9</v>
      </c>
      <c r="D10" s="9">
        <v>1</v>
      </c>
      <c r="E10" s="9">
        <v>10</v>
      </c>
      <c r="F10" s="10">
        <f t="shared" si="0"/>
        <v>100</v>
      </c>
      <c r="G10" s="4">
        <v>1</v>
      </c>
      <c r="H10" s="5">
        <v>40</v>
      </c>
      <c r="I10" s="5">
        <f t="shared" si="1"/>
        <v>40</v>
      </c>
      <c r="J10" s="5">
        <v>9</v>
      </c>
      <c r="K10" s="5">
        <v>10</v>
      </c>
      <c r="L10" s="6">
        <f t="shared" si="2"/>
        <v>90</v>
      </c>
      <c r="M10" s="4">
        <f t="shared" si="3"/>
        <v>0.9</v>
      </c>
      <c r="N10" s="5">
        <v>30</v>
      </c>
      <c r="O10" s="5">
        <f t="shared" si="4"/>
        <v>27</v>
      </c>
      <c r="P10" s="5">
        <v>10</v>
      </c>
      <c r="Q10" s="5">
        <v>11</v>
      </c>
      <c r="R10" s="6">
        <f t="shared" si="5"/>
        <v>90.9090909090909</v>
      </c>
      <c r="S10" s="84">
        <f t="shared" si="6"/>
        <v>0.9090909090909091</v>
      </c>
      <c r="T10" s="5">
        <v>30</v>
      </c>
      <c r="U10" s="5">
        <f t="shared" si="7"/>
        <v>27.272727272727273</v>
      </c>
      <c r="V10" s="5">
        <f t="shared" si="8"/>
        <v>100</v>
      </c>
      <c r="W10" s="5">
        <f t="shared" si="8"/>
        <v>94.27272727272728</v>
      </c>
      <c r="X10" s="5">
        <v>7.5</v>
      </c>
      <c r="Y10" s="5">
        <f t="shared" si="9"/>
        <v>7.070454545454546</v>
      </c>
    </row>
    <row r="11" spans="1:25" ht="12.75">
      <c r="A11" s="1" t="s">
        <v>50</v>
      </c>
      <c r="B11" s="48">
        <v>0</v>
      </c>
      <c r="C11" s="48">
        <v>2</v>
      </c>
      <c r="D11" s="48">
        <v>1</v>
      </c>
      <c r="E11" s="48">
        <v>3</v>
      </c>
      <c r="F11" s="49">
        <f t="shared" si="0"/>
        <v>100</v>
      </c>
      <c r="G11" s="17">
        <v>1</v>
      </c>
      <c r="H11" s="8">
        <v>40</v>
      </c>
      <c r="I11" s="8">
        <f t="shared" si="1"/>
        <v>40</v>
      </c>
      <c r="J11" s="8">
        <v>0</v>
      </c>
      <c r="K11" s="8">
        <v>3</v>
      </c>
      <c r="L11" s="6">
        <f t="shared" si="2"/>
        <v>0</v>
      </c>
      <c r="M11" s="4">
        <f t="shared" si="3"/>
        <v>0</v>
      </c>
      <c r="N11" s="8">
        <v>30</v>
      </c>
      <c r="O11" s="8">
        <f t="shared" si="4"/>
        <v>0</v>
      </c>
      <c r="P11" s="8">
        <v>3</v>
      </c>
      <c r="Q11" s="8">
        <v>3</v>
      </c>
      <c r="R11" s="6">
        <f t="shared" si="5"/>
        <v>100</v>
      </c>
      <c r="S11" s="4">
        <f t="shared" si="6"/>
        <v>1</v>
      </c>
      <c r="T11" s="8">
        <v>30</v>
      </c>
      <c r="U11" s="8">
        <f t="shared" si="7"/>
        <v>30</v>
      </c>
      <c r="V11" s="8">
        <f t="shared" si="8"/>
        <v>100</v>
      </c>
      <c r="W11" s="8">
        <f t="shared" si="8"/>
        <v>70</v>
      </c>
      <c r="X11" s="8">
        <v>7</v>
      </c>
      <c r="Y11" s="8">
        <f t="shared" si="9"/>
        <v>4.9</v>
      </c>
    </row>
    <row r="12" spans="1:25" ht="12.75">
      <c r="A12" s="1" t="s">
        <v>47</v>
      </c>
      <c r="B12" s="9">
        <v>0</v>
      </c>
      <c r="C12" s="9">
        <v>9</v>
      </c>
      <c r="D12" s="9">
        <v>1</v>
      </c>
      <c r="E12" s="9">
        <v>10</v>
      </c>
      <c r="F12" s="10">
        <f t="shared" si="0"/>
        <v>100</v>
      </c>
      <c r="G12" s="4">
        <v>1</v>
      </c>
      <c r="H12" s="5">
        <v>40</v>
      </c>
      <c r="I12" s="5">
        <f t="shared" si="1"/>
        <v>40</v>
      </c>
      <c r="J12" s="5">
        <v>3</v>
      </c>
      <c r="K12" s="5">
        <v>10</v>
      </c>
      <c r="L12" s="6">
        <f t="shared" si="2"/>
        <v>30</v>
      </c>
      <c r="M12" s="4">
        <f t="shared" si="3"/>
        <v>0.3</v>
      </c>
      <c r="N12" s="5">
        <v>30</v>
      </c>
      <c r="O12" s="5">
        <f t="shared" si="4"/>
        <v>9</v>
      </c>
      <c r="P12" s="5">
        <v>10</v>
      </c>
      <c r="Q12" s="5">
        <v>10</v>
      </c>
      <c r="R12" s="6">
        <f t="shared" si="5"/>
        <v>100</v>
      </c>
      <c r="S12" s="4">
        <f t="shared" si="6"/>
        <v>1</v>
      </c>
      <c r="T12" s="5">
        <v>30</v>
      </c>
      <c r="U12" s="5">
        <f t="shared" si="7"/>
        <v>30</v>
      </c>
      <c r="V12" s="5">
        <f t="shared" si="8"/>
        <v>100</v>
      </c>
      <c r="W12" s="5">
        <f t="shared" si="8"/>
        <v>79</v>
      </c>
      <c r="X12" s="5">
        <v>7</v>
      </c>
      <c r="Y12" s="5">
        <f t="shared" si="9"/>
        <v>5.53</v>
      </c>
    </row>
    <row r="13" spans="1:25" ht="12.75">
      <c r="A13" s="1" t="s">
        <v>48</v>
      </c>
      <c r="B13" s="9">
        <v>0</v>
      </c>
      <c r="C13" s="9">
        <v>3</v>
      </c>
      <c r="D13" s="9">
        <v>0</v>
      </c>
      <c r="E13" s="9">
        <v>3</v>
      </c>
      <c r="F13" s="10">
        <f t="shared" si="0"/>
        <v>100</v>
      </c>
      <c r="G13" s="4">
        <v>1</v>
      </c>
      <c r="H13" s="5">
        <v>40</v>
      </c>
      <c r="I13" s="5">
        <f t="shared" si="1"/>
        <v>40</v>
      </c>
      <c r="J13" s="5">
        <v>2</v>
      </c>
      <c r="K13" s="5">
        <v>3</v>
      </c>
      <c r="L13" s="6">
        <f t="shared" si="2"/>
        <v>66.66666666666667</v>
      </c>
      <c r="M13" s="4">
        <f t="shared" si="3"/>
        <v>0.6666666666666667</v>
      </c>
      <c r="N13" s="5">
        <v>30</v>
      </c>
      <c r="O13" s="5">
        <f t="shared" si="4"/>
        <v>20.000000000000004</v>
      </c>
      <c r="P13" s="5">
        <v>3</v>
      </c>
      <c r="Q13" s="18">
        <v>3</v>
      </c>
      <c r="R13" s="6">
        <f t="shared" si="5"/>
        <v>100</v>
      </c>
      <c r="S13" s="4">
        <f t="shared" si="6"/>
        <v>1</v>
      </c>
      <c r="T13" s="5">
        <v>30</v>
      </c>
      <c r="U13" s="5">
        <f t="shared" si="7"/>
        <v>30</v>
      </c>
      <c r="V13" s="5">
        <f t="shared" si="8"/>
        <v>100</v>
      </c>
      <c r="W13" s="5">
        <f t="shared" si="8"/>
        <v>90</v>
      </c>
      <c r="X13" s="5">
        <v>7</v>
      </c>
      <c r="Y13" s="5">
        <f t="shared" si="9"/>
        <v>6.3</v>
      </c>
    </row>
    <row r="14" spans="1:25" ht="12.75">
      <c r="A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sheetProtection/>
  <mergeCells count="12">
    <mergeCell ref="J5:N5"/>
    <mergeCell ref="O5:O6"/>
    <mergeCell ref="A4:A6"/>
    <mergeCell ref="U5:U6"/>
    <mergeCell ref="B4:Y4"/>
    <mergeCell ref="P5:T5"/>
    <mergeCell ref="V5:V6"/>
    <mergeCell ref="W5:W6"/>
    <mergeCell ref="X5:X6"/>
    <mergeCell ref="Y5:Y6"/>
    <mergeCell ref="B5:H5"/>
    <mergeCell ref="I5:I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966924" r:id="rId1"/>
    <oleObject progId="Equation.3" shapeId="1966925" r:id="rId2"/>
    <oleObject progId="Equation.3" shapeId="2068726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4:K20"/>
  <sheetViews>
    <sheetView view="pageBreakPreview" zoomScaleNormal="75" zoomScaleSheetLayoutView="100" zoomScalePageLayoutView="0" workbookViewId="0" topLeftCell="A1">
      <selection activeCell="E8" sqref="E8:E13"/>
    </sheetView>
  </sheetViews>
  <sheetFormatPr defaultColWidth="9.00390625" defaultRowHeight="12.75"/>
  <cols>
    <col min="1" max="1" width="25.125" style="0" customWidth="1"/>
    <col min="2" max="2" width="9.375" style="0" customWidth="1"/>
    <col min="3" max="3" width="9.625" style="0" customWidth="1"/>
    <col min="4" max="5" width="16.375" style="0" customWidth="1"/>
    <col min="6" max="6" width="7.625" style="0" customWidth="1"/>
    <col min="7" max="7" width="8.00390625" style="0" customWidth="1"/>
    <col min="8" max="8" width="8.25390625" style="0" customWidth="1"/>
    <col min="9" max="9" width="8.375" style="0" customWidth="1"/>
    <col min="10" max="10" width="6.25390625" style="0" customWidth="1"/>
    <col min="11" max="11" width="7.875" style="0" customWidth="1"/>
  </cols>
  <sheetData>
    <row r="4" spans="1:11" ht="20.25" customHeight="1">
      <c r="A4" s="155" t="s">
        <v>44</v>
      </c>
      <c r="B4" s="156" t="s">
        <v>71</v>
      </c>
      <c r="C4" s="157"/>
      <c r="D4" s="157"/>
      <c r="E4" s="157"/>
      <c r="F4" s="157"/>
      <c r="G4" s="157"/>
      <c r="H4" s="157"/>
      <c r="I4" s="157"/>
      <c r="J4" s="157"/>
      <c r="K4" s="166"/>
    </row>
    <row r="5" spans="1:11" ht="20.25" customHeight="1">
      <c r="A5" s="155"/>
      <c r="B5" s="188" t="s">
        <v>43</v>
      </c>
      <c r="C5" s="188"/>
      <c r="D5" s="188"/>
      <c r="E5" s="188"/>
      <c r="F5" s="189"/>
      <c r="G5" s="124" t="s">
        <v>56</v>
      </c>
      <c r="H5" s="128" t="s">
        <v>58</v>
      </c>
      <c r="I5" s="131" t="s">
        <v>57</v>
      </c>
      <c r="J5" s="117" t="s">
        <v>22</v>
      </c>
      <c r="K5" s="120" t="s">
        <v>51</v>
      </c>
    </row>
    <row r="6" spans="1:11" ht="123.75">
      <c r="A6" s="155"/>
      <c r="B6" s="20" t="s">
        <v>38</v>
      </c>
      <c r="C6" s="20" t="s">
        <v>39</v>
      </c>
      <c r="D6" s="43" t="s">
        <v>20</v>
      </c>
      <c r="E6" s="24" t="s">
        <v>101</v>
      </c>
      <c r="F6" s="23" t="s">
        <v>45</v>
      </c>
      <c r="G6" s="125"/>
      <c r="H6" s="130"/>
      <c r="I6" s="133"/>
      <c r="J6" s="119"/>
      <c r="K6" s="122"/>
    </row>
    <row r="7" spans="1:11" ht="12.75">
      <c r="A7" s="25">
        <v>1</v>
      </c>
      <c r="B7" s="36">
        <v>2</v>
      </c>
      <c r="C7" s="36">
        <v>3</v>
      </c>
      <c r="D7" s="25">
        <v>4</v>
      </c>
      <c r="E7" s="36">
        <v>5</v>
      </c>
      <c r="F7" s="36">
        <v>6</v>
      </c>
      <c r="G7" s="25">
        <v>7</v>
      </c>
      <c r="H7" s="36">
        <v>8</v>
      </c>
      <c r="I7" s="36">
        <v>9</v>
      </c>
      <c r="J7" s="25">
        <v>10</v>
      </c>
      <c r="K7" s="36">
        <v>11</v>
      </c>
    </row>
    <row r="8" spans="1:11" ht="12.75">
      <c r="A8" s="1" t="s">
        <v>46</v>
      </c>
      <c r="B8" s="9">
        <v>386.1</v>
      </c>
      <c r="C8" s="9">
        <v>735.4</v>
      </c>
      <c r="D8" s="10">
        <f aca="true" t="shared" si="0" ref="D8:D13">100*(C8-B8)/B8</f>
        <v>90.46879046879044</v>
      </c>
      <c r="E8" s="74">
        <v>0</v>
      </c>
      <c r="F8" s="5">
        <v>100</v>
      </c>
      <c r="G8" s="5">
        <f aca="true" t="shared" si="1" ref="G8:G13">E8*F8</f>
        <v>0</v>
      </c>
      <c r="H8" s="5">
        <f aca="true" t="shared" si="2" ref="H8:I13">F8</f>
        <v>100</v>
      </c>
      <c r="I8" s="5">
        <f t="shared" si="2"/>
        <v>0</v>
      </c>
      <c r="J8" s="5">
        <v>7</v>
      </c>
      <c r="K8" s="5">
        <f aca="true" t="shared" si="3" ref="K8:K13">(I8*J8)/100</f>
        <v>0</v>
      </c>
    </row>
    <row r="9" spans="1:11" ht="12.75">
      <c r="A9" s="1" t="s">
        <v>131</v>
      </c>
      <c r="B9" s="9">
        <v>1</v>
      </c>
      <c r="C9" s="9">
        <v>1</v>
      </c>
      <c r="D9" s="10">
        <f t="shared" si="0"/>
        <v>0</v>
      </c>
      <c r="E9" s="74">
        <v>1</v>
      </c>
      <c r="F9" s="5">
        <v>100</v>
      </c>
      <c r="G9" s="5">
        <f t="shared" si="1"/>
        <v>100</v>
      </c>
      <c r="H9" s="5">
        <f t="shared" si="2"/>
        <v>100</v>
      </c>
      <c r="I9" s="5">
        <f t="shared" si="2"/>
        <v>100</v>
      </c>
      <c r="J9" s="5">
        <v>7.5</v>
      </c>
      <c r="K9" s="5">
        <f t="shared" si="3"/>
        <v>7.5</v>
      </c>
    </row>
    <row r="10" spans="1:11" ht="12.75">
      <c r="A10" s="1" t="s">
        <v>49</v>
      </c>
      <c r="B10" s="9">
        <v>263.6</v>
      </c>
      <c r="C10" s="9">
        <v>245</v>
      </c>
      <c r="D10" s="10">
        <f t="shared" si="0"/>
        <v>-7.056145675265562</v>
      </c>
      <c r="E10" s="106">
        <v>1</v>
      </c>
      <c r="F10" s="5">
        <v>100</v>
      </c>
      <c r="G10" s="5">
        <f t="shared" si="1"/>
        <v>100</v>
      </c>
      <c r="H10" s="5">
        <f t="shared" si="2"/>
        <v>100</v>
      </c>
      <c r="I10" s="5">
        <f t="shared" si="2"/>
        <v>100</v>
      </c>
      <c r="J10" s="5">
        <v>7.5</v>
      </c>
      <c r="K10" s="5">
        <f t="shared" si="3"/>
        <v>7.5</v>
      </c>
    </row>
    <row r="11" spans="1:11" ht="12.75">
      <c r="A11" s="1" t="s">
        <v>50</v>
      </c>
      <c r="B11" s="9">
        <v>2.6</v>
      </c>
      <c r="C11" s="9">
        <v>1.2</v>
      </c>
      <c r="D11" s="10">
        <f t="shared" si="0"/>
        <v>-53.84615384615385</v>
      </c>
      <c r="E11" s="74">
        <v>0</v>
      </c>
      <c r="F11" s="5">
        <v>100</v>
      </c>
      <c r="G11" s="5">
        <f t="shared" si="1"/>
        <v>0</v>
      </c>
      <c r="H11" s="5">
        <f t="shared" si="2"/>
        <v>100</v>
      </c>
      <c r="I11" s="5">
        <f t="shared" si="2"/>
        <v>0</v>
      </c>
      <c r="J11" s="5">
        <v>7</v>
      </c>
      <c r="K11" s="5">
        <f t="shared" si="3"/>
        <v>0</v>
      </c>
    </row>
    <row r="12" spans="1:11" ht="12.75">
      <c r="A12" s="1" t="s">
        <v>47</v>
      </c>
      <c r="B12" s="9">
        <v>199.1</v>
      </c>
      <c r="C12" s="9">
        <v>272.3</v>
      </c>
      <c r="D12" s="91">
        <f t="shared" si="0"/>
        <v>36.76544450025114</v>
      </c>
      <c r="E12" s="105">
        <v>0</v>
      </c>
      <c r="F12" s="5">
        <v>100</v>
      </c>
      <c r="G12" s="5">
        <f t="shared" si="1"/>
        <v>0</v>
      </c>
      <c r="H12" s="5">
        <f t="shared" si="2"/>
        <v>100</v>
      </c>
      <c r="I12" s="5">
        <f t="shared" si="2"/>
        <v>0</v>
      </c>
      <c r="J12" s="5">
        <v>7</v>
      </c>
      <c r="K12" s="5">
        <f t="shared" si="3"/>
        <v>0</v>
      </c>
    </row>
    <row r="13" spans="1:11" ht="12.75">
      <c r="A13" s="1" t="s">
        <v>48</v>
      </c>
      <c r="B13" s="9">
        <v>0.8</v>
      </c>
      <c r="C13" s="9">
        <v>1.4</v>
      </c>
      <c r="D13" s="10">
        <f t="shared" si="0"/>
        <v>74.99999999999997</v>
      </c>
      <c r="E13" s="74">
        <v>0</v>
      </c>
      <c r="F13" s="5">
        <v>100</v>
      </c>
      <c r="G13" s="5">
        <f t="shared" si="1"/>
        <v>0</v>
      </c>
      <c r="H13" s="5">
        <f t="shared" si="2"/>
        <v>100</v>
      </c>
      <c r="I13" s="5">
        <f t="shared" si="2"/>
        <v>0</v>
      </c>
      <c r="J13" s="5">
        <v>7</v>
      </c>
      <c r="K13" s="5">
        <f t="shared" si="3"/>
        <v>0</v>
      </c>
    </row>
    <row r="14" spans="1:11" ht="12.75">
      <c r="A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92" t="s">
        <v>188</v>
      </c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8">
    <mergeCell ref="A4:A6"/>
    <mergeCell ref="G5:G6"/>
    <mergeCell ref="H5:H6"/>
    <mergeCell ref="B5:F5"/>
    <mergeCell ref="B4:K4"/>
    <mergeCell ref="I5:I6"/>
    <mergeCell ref="J5:J6"/>
    <mergeCell ref="K5:K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6"/>
  <legacyDrawing r:id="rId5"/>
  <oleObjects>
    <oleObject progId="Equation.3" shapeId="1968502" r:id="rId1"/>
    <oleObject progId="Equation.3" shapeId="1968503" r:id="rId2"/>
    <oleObject progId="Equation.3" shapeId="155938" r:id="rId3"/>
    <oleObject progId="Equation.3" shapeId="15748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SheetLayoutView="100" zoomScalePageLayoutView="0" workbookViewId="0" topLeftCell="A1">
      <selection activeCell="H8" sqref="H8:I9"/>
    </sheetView>
  </sheetViews>
  <sheetFormatPr defaultColWidth="9.00390625" defaultRowHeight="12.75"/>
  <cols>
    <col min="1" max="1" width="24.875" style="0" bestFit="1" customWidth="1"/>
    <col min="2" max="2" width="15.75390625" style="0" bestFit="1" customWidth="1"/>
    <col min="3" max="3" width="16.75390625" style="0" bestFit="1" customWidth="1"/>
    <col min="4" max="4" width="8.875" style="0" bestFit="1" customWidth="1"/>
    <col min="5" max="5" width="9.875" style="0" customWidth="1"/>
    <col min="6" max="6" width="8.75390625" style="0" bestFit="1" customWidth="1"/>
    <col min="7" max="7" width="8.00390625" style="0" bestFit="1" customWidth="1"/>
    <col min="8" max="8" width="42.75390625" style="0" bestFit="1" customWidth="1"/>
    <col min="9" max="9" width="20.25390625" style="0" bestFit="1" customWidth="1"/>
    <col min="10" max="10" width="8.75390625" style="0" bestFit="1" customWidth="1"/>
    <col min="11" max="11" width="8.00390625" style="0" bestFit="1" customWidth="1"/>
  </cols>
  <sheetData>
    <row r="1" spans="1:15" ht="21.75" customHeight="1">
      <c r="A1" s="109" t="s">
        <v>44</v>
      </c>
      <c r="B1" s="185" t="s">
        <v>107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</row>
    <row r="2" spans="1:15" ht="33" customHeight="1">
      <c r="A2" s="112"/>
      <c r="B2" s="156" t="s">
        <v>108</v>
      </c>
      <c r="C2" s="157"/>
      <c r="D2" s="157"/>
      <c r="E2" s="157"/>
      <c r="F2" s="157"/>
      <c r="G2" s="111" t="s">
        <v>56</v>
      </c>
      <c r="H2" s="111" t="s">
        <v>109</v>
      </c>
      <c r="I2" s="111"/>
      <c r="J2" s="111"/>
      <c r="K2" s="123" t="s">
        <v>56</v>
      </c>
      <c r="L2" s="128" t="s">
        <v>58</v>
      </c>
      <c r="M2" s="131" t="s">
        <v>57</v>
      </c>
      <c r="N2" s="117" t="s">
        <v>85</v>
      </c>
      <c r="O2" s="120" t="s">
        <v>51</v>
      </c>
    </row>
    <row r="3" spans="1:15" ht="232.5" customHeight="1">
      <c r="A3" s="110"/>
      <c r="B3" s="20" t="s">
        <v>110</v>
      </c>
      <c r="C3" s="20" t="s">
        <v>147</v>
      </c>
      <c r="D3" s="41" t="s">
        <v>149</v>
      </c>
      <c r="E3" s="40" t="s">
        <v>148</v>
      </c>
      <c r="F3" s="44" t="s">
        <v>45</v>
      </c>
      <c r="G3" s="111"/>
      <c r="H3" s="42" t="s">
        <v>111</v>
      </c>
      <c r="I3" s="42" t="s">
        <v>112</v>
      </c>
      <c r="J3" s="23" t="s">
        <v>45</v>
      </c>
      <c r="K3" s="125"/>
      <c r="L3" s="130"/>
      <c r="M3" s="133"/>
      <c r="N3" s="119"/>
      <c r="O3" s="122"/>
    </row>
    <row r="4" spans="1:15" ht="12.75">
      <c r="A4" s="25">
        <v>1</v>
      </c>
      <c r="B4" s="36">
        <v>2</v>
      </c>
      <c r="C4" s="36">
        <v>3</v>
      </c>
      <c r="D4" s="25">
        <v>4</v>
      </c>
      <c r="E4" s="36">
        <v>5</v>
      </c>
      <c r="F4" s="36">
        <v>6</v>
      </c>
      <c r="G4" s="25">
        <v>7</v>
      </c>
      <c r="H4" s="36">
        <v>8</v>
      </c>
      <c r="I4" s="36">
        <v>9</v>
      </c>
      <c r="J4" s="25">
        <v>10</v>
      </c>
      <c r="K4" s="36">
        <v>11</v>
      </c>
      <c r="L4" s="25">
        <v>13</v>
      </c>
      <c r="M4" s="36">
        <v>14</v>
      </c>
      <c r="N4" s="36">
        <v>15</v>
      </c>
      <c r="O4" s="25">
        <v>16</v>
      </c>
    </row>
    <row r="5" spans="1:15" ht="12.75">
      <c r="A5" s="1" t="s">
        <v>46</v>
      </c>
      <c r="B5" s="72">
        <v>174770.1</v>
      </c>
      <c r="C5" s="72">
        <v>174770.1</v>
      </c>
      <c r="D5" s="10">
        <f>-(1-B5/C5)*100</f>
        <v>0</v>
      </c>
      <c r="E5" s="4">
        <v>1</v>
      </c>
      <c r="F5" s="5">
        <v>50</v>
      </c>
      <c r="G5" s="5">
        <f>E5*F5</f>
        <v>50</v>
      </c>
      <c r="H5" s="87" t="s">
        <v>104</v>
      </c>
      <c r="I5" s="6">
        <v>1</v>
      </c>
      <c r="J5" s="5">
        <v>50</v>
      </c>
      <c r="K5" s="5">
        <f aca="true" t="shared" si="0" ref="K5:K10">I5*J5</f>
        <v>50</v>
      </c>
      <c r="L5" s="5">
        <f aca="true" t="shared" si="1" ref="L5:M10">J5+F5</f>
        <v>100</v>
      </c>
      <c r="M5" s="5">
        <f t="shared" si="1"/>
        <v>100</v>
      </c>
      <c r="N5" s="5">
        <v>7</v>
      </c>
      <c r="O5" s="5">
        <f aca="true" t="shared" si="2" ref="O5:O10">(M5*N5)/100</f>
        <v>7</v>
      </c>
    </row>
    <row r="6" spans="1:15" ht="12.75">
      <c r="A6" s="1" t="s">
        <v>131</v>
      </c>
      <c r="B6" s="72"/>
      <c r="C6" s="72"/>
      <c r="D6" s="10"/>
      <c r="E6" s="4"/>
      <c r="F6" s="5"/>
      <c r="G6" s="5"/>
      <c r="H6" s="87"/>
      <c r="I6" s="6"/>
      <c r="J6" s="5"/>
      <c r="K6" s="5"/>
      <c r="L6" s="5"/>
      <c r="M6" s="5"/>
      <c r="N6" s="5"/>
      <c r="O6" s="5"/>
    </row>
    <row r="7" spans="1:15" ht="12.75">
      <c r="A7" s="1" t="s">
        <v>49</v>
      </c>
      <c r="B7" s="72"/>
      <c r="C7" s="72"/>
      <c r="D7" s="10"/>
      <c r="E7" s="4"/>
      <c r="F7" s="5"/>
      <c r="G7" s="5"/>
      <c r="H7" s="87"/>
      <c r="I7" s="6"/>
      <c r="J7" s="5"/>
      <c r="K7" s="5"/>
      <c r="L7" s="5"/>
      <c r="M7" s="5"/>
      <c r="N7" s="5"/>
      <c r="O7" s="5"/>
    </row>
    <row r="8" spans="1:15" ht="12.75">
      <c r="A8" s="1" t="s">
        <v>50</v>
      </c>
      <c r="B8" s="72">
        <v>33266</v>
      </c>
      <c r="C8" s="72">
        <v>33266</v>
      </c>
      <c r="D8" s="10">
        <f>-(1-B8/C8)*100</f>
        <v>0</v>
      </c>
      <c r="E8" s="4">
        <v>1</v>
      </c>
      <c r="F8" s="5">
        <v>50</v>
      </c>
      <c r="G8" s="5">
        <f>E8*F8</f>
        <v>50</v>
      </c>
      <c r="H8" s="107" t="s">
        <v>104</v>
      </c>
      <c r="I8" s="74">
        <v>1</v>
      </c>
      <c r="J8" s="5">
        <v>50</v>
      </c>
      <c r="K8" s="5">
        <f t="shared" si="0"/>
        <v>50</v>
      </c>
      <c r="L8" s="5">
        <f t="shared" si="1"/>
        <v>100</v>
      </c>
      <c r="M8" s="5">
        <f t="shared" si="1"/>
        <v>100</v>
      </c>
      <c r="N8" s="8">
        <v>7</v>
      </c>
      <c r="O8" s="8">
        <f t="shared" si="2"/>
        <v>7</v>
      </c>
    </row>
    <row r="9" spans="1:15" ht="12.75">
      <c r="A9" s="1" t="s">
        <v>47</v>
      </c>
      <c r="B9" s="9"/>
      <c r="C9" s="9"/>
      <c r="D9" s="10"/>
      <c r="E9" s="4"/>
      <c r="F9" s="5"/>
      <c r="G9" s="5"/>
      <c r="H9" s="107" t="s">
        <v>104</v>
      </c>
      <c r="I9" s="74">
        <v>1</v>
      </c>
      <c r="J9" s="5">
        <v>100</v>
      </c>
      <c r="K9" s="5">
        <f t="shared" si="0"/>
        <v>100</v>
      </c>
      <c r="L9" s="5">
        <f t="shared" si="1"/>
        <v>100</v>
      </c>
      <c r="M9" s="5">
        <f t="shared" si="1"/>
        <v>100</v>
      </c>
      <c r="N9" s="5">
        <v>7</v>
      </c>
      <c r="O9" s="5">
        <f t="shared" si="2"/>
        <v>7</v>
      </c>
    </row>
    <row r="10" spans="1:15" ht="12.75">
      <c r="A10" s="1" t="s">
        <v>48</v>
      </c>
      <c r="B10" s="9"/>
      <c r="C10" s="9"/>
      <c r="D10" s="10"/>
      <c r="E10" s="4"/>
      <c r="F10" s="5"/>
      <c r="G10" s="5"/>
      <c r="H10" s="87" t="s">
        <v>104</v>
      </c>
      <c r="I10" s="6">
        <v>1</v>
      </c>
      <c r="J10" s="5">
        <v>100</v>
      </c>
      <c r="K10" s="5">
        <f t="shared" si="0"/>
        <v>100</v>
      </c>
      <c r="L10" s="5">
        <f t="shared" si="1"/>
        <v>100</v>
      </c>
      <c r="M10" s="5">
        <f t="shared" si="1"/>
        <v>100</v>
      </c>
      <c r="N10" s="5">
        <v>7</v>
      </c>
      <c r="O10" s="5">
        <f t="shared" si="2"/>
        <v>7</v>
      </c>
    </row>
  </sheetData>
  <sheetProtection/>
  <mergeCells count="10">
    <mergeCell ref="N2:N3"/>
    <mergeCell ref="O2:O3"/>
    <mergeCell ref="A1:A3"/>
    <mergeCell ref="B1:O1"/>
    <mergeCell ref="B2:F2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5"/>
  <legacyDrawing r:id="rId4"/>
  <oleObjects>
    <oleObject progId="Equation.3" shapeId="242596" r:id="rId1"/>
    <oleObject progId="Equation.3" shapeId="242597" r:id="rId2"/>
    <oleObject progId="Equation.3" shapeId="2425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Наталья Чмир</cp:lastModifiedBy>
  <cp:lastPrinted>2021-02-08T12:58:29Z</cp:lastPrinted>
  <dcterms:created xsi:type="dcterms:W3CDTF">2011-06-24T04:32:09Z</dcterms:created>
  <dcterms:modified xsi:type="dcterms:W3CDTF">2021-02-15T06:11:38Z</dcterms:modified>
  <cp:category/>
  <cp:version/>
  <cp:contentType/>
  <cp:contentStatus/>
</cp:coreProperties>
</file>